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lo\Desktop\Bombowa Księgowa\"/>
    </mc:Choice>
  </mc:AlternateContent>
  <xr:revisionPtr revIDLastSave="0" documentId="13_ncr:1_{214AB299-13E6-4CF4-88B5-6BCB1E657799}" xr6:coauthVersionLast="45" xr6:coauthVersionMax="45" xr10:uidLastSave="{00000000-0000-0000-0000-000000000000}"/>
  <bookViews>
    <workbookView xWindow="-110" yWindow="-110" windowWidth="19420" windowHeight="10420" tabRatio="932" activeTab="11" xr2:uid="{71F33DB6-FD73-4579-BDF4-F6FF20BD07D2}"/>
  </bookViews>
  <sheets>
    <sheet name="Uzgodnienia" sheetId="6" r:id="rId1"/>
    <sheet name="Księgowania za 2020 r." sheetId="2" r:id="rId2"/>
    <sheet name="ŚT" sheetId="5" r:id="rId3"/>
    <sheet name="Bank" sheetId="9" r:id="rId4"/>
    <sheet name="Należności" sheetId="10" r:id="rId5"/>
    <sheet name="Zobowiązania" sheetId="11" r:id="rId6"/>
    <sheet name="VAT" sheetId="12" r:id="rId7"/>
    <sheet name="CIT 03.2020" sheetId="7" r:id="rId8"/>
    <sheet name="Odsetki CIT" sheetId="8" r:id="rId9"/>
    <sheet name="Magazyn" sheetId="13" r:id="rId10"/>
    <sheet name="RMK" sheetId="4" r:id="rId11"/>
    <sheet name="Pozostałe koszty wynikowe" sheetId="14" r:id="rId12"/>
    <sheet name="Plan kont" sheetId="1" r:id="rId13"/>
  </sheets>
  <definedNames>
    <definedName name="_xlnm._FilterDatabase" localSheetId="1" hidden="1">'Księgowania za 2020 r.'!$A$1:$L$59</definedName>
  </definedNames>
  <calcPr calcId="191029"/>
  <pivotCaches>
    <pivotCache cacheId="0" r:id="rId14"/>
    <pivotCache cacheId="1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6" l="1"/>
  <c r="F9" i="13"/>
  <c r="E9" i="13"/>
  <c r="E16" i="6"/>
  <c r="E21" i="6"/>
  <c r="G14" i="14"/>
  <c r="G12" i="14"/>
  <c r="G11" i="14"/>
  <c r="G10" i="14"/>
  <c r="E23" i="6"/>
  <c r="G9" i="13"/>
  <c r="E20" i="6" s="1"/>
  <c r="B9" i="13"/>
  <c r="A9" i="13"/>
  <c r="A8" i="13"/>
  <c r="G8" i="13"/>
  <c r="H9" i="13" s="1"/>
  <c r="E14" i="6" s="1"/>
  <c r="B8" i="13"/>
  <c r="E12" i="6"/>
  <c r="I21" i="7"/>
  <c r="E8" i="6"/>
  <c r="E7" i="6"/>
  <c r="E21" i="11"/>
  <c r="E20" i="11"/>
  <c r="E19" i="11"/>
  <c r="D20" i="11"/>
  <c r="D19" i="11"/>
  <c r="C21" i="11"/>
  <c r="D21" i="11" s="1"/>
  <c r="C20" i="11"/>
  <c r="C19" i="11"/>
  <c r="I13" i="11"/>
  <c r="I5" i="10"/>
  <c r="E6" i="6"/>
  <c r="I12" i="9"/>
  <c r="C4" i="8"/>
  <c r="F4" i="8"/>
  <c r="F23" i="6"/>
  <c r="F22" i="6"/>
  <c r="F21" i="6"/>
  <c r="F20" i="6"/>
  <c r="F19" i="6"/>
  <c r="F16" i="6"/>
  <c r="F14" i="6"/>
  <c r="F13" i="6"/>
  <c r="F12" i="6"/>
  <c r="F11" i="6"/>
  <c r="F10" i="6"/>
  <c r="F9" i="6"/>
  <c r="E11" i="6"/>
  <c r="E10" i="6"/>
  <c r="E9" i="6"/>
  <c r="F8" i="6"/>
  <c r="F7" i="6"/>
  <c r="F6" i="6"/>
  <c r="H8" i="13" l="1"/>
  <c r="H4" i="8"/>
  <c r="I4" i="8" s="1"/>
  <c r="I59" i="2"/>
  <c r="I58" i="2"/>
  <c r="E59" i="2"/>
  <c r="I57" i="2"/>
  <c r="I56" i="2"/>
  <c r="E58" i="2"/>
  <c r="E57" i="2"/>
  <c r="E56" i="2"/>
  <c r="I55" i="2"/>
  <c r="I54" i="2"/>
  <c r="E55" i="2"/>
  <c r="E54" i="2"/>
  <c r="E53" i="2"/>
  <c r="E52" i="2"/>
  <c r="I48" i="2"/>
  <c r="I49" i="2"/>
  <c r="E49" i="2"/>
  <c r="E48" i="2"/>
  <c r="E47" i="2"/>
  <c r="E46" i="2"/>
  <c r="E43" i="2"/>
  <c r="E44" i="2"/>
  <c r="E45" i="2"/>
  <c r="E50" i="2"/>
  <c r="I44" i="2"/>
  <c r="I45" i="2"/>
  <c r="H43" i="2"/>
  <c r="I43" i="2" s="1"/>
  <c r="H41" i="2"/>
  <c r="I41" i="2" s="1"/>
  <c r="E42" i="2"/>
  <c r="E41" i="2"/>
  <c r="I12" i="7"/>
  <c r="I10" i="7"/>
  <c r="I40" i="2"/>
  <c r="I39" i="2"/>
  <c r="E40" i="2"/>
  <c r="E39" i="2"/>
  <c r="I31" i="2"/>
  <c r="I30" i="2"/>
  <c r="E31" i="2"/>
  <c r="E30" i="2"/>
  <c r="I19" i="2"/>
  <c r="I18" i="2"/>
  <c r="E19" i="2"/>
  <c r="E18" i="2"/>
  <c r="I8" i="2"/>
  <c r="I7" i="2"/>
  <c r="E8" i="2"/>
  <c r="E7" i="2"/>
  <c r="I37" i="2"/>
  <c r="E35" i="2"/>
  <c r="E36" i="2"/>
  <c r="E37" i="2"/>
  <c r="E38" i="2"/>
  <c r="E51" i="2"/>
  <c r="I34" i="2"/>
  <c r="E34" i="2"/>
  <c r="I33" i="2"/>
  <c r="E33" i="2"/>
  <c r="I32" i="2"/>
  <c r="E32" i="2"/>
  <c r="G29" i="2"/>
  <c r="I29" i="2" s="1"/>
  <c r="H28" i="2"/>
  <c r="I28" i="2" s="1"/>
  <c r="E28" i="2"/>
  <c r="E29" i="2"/>
  <c r="H27" i="2"/>
  <c r="I27" i="2" s="1"/>
  <c r="I23" i="2"/>
  <c r="I24" i="2"/>
  <c r="I35" i="2"/>
  <c r="I36" i="2"/>
  <c r="I38" i="2"/>
  <c r="E27" i="2"/>
  <c r="E26" i="2"/>
  <c r="E25" i="2"/>
  <c r="E24" i="2"/>
  <c r="E23" i="2"/>
  <c r="G21" i="2"/>
  <c r="H20" i="2" s="1"/>
  <c r="G6" i="5"/>
  <c r="G10" i="5" s="1"/>
  <c r="O12" i="5" s="1"/>
  <c r="F6" i="5"/>
  <c r="A10" i="5"/>
  <c r="L2" i="5"/>
  <c r="G42" i="2" l="1"/>
  <c r="I42" i="2" s="1"/>
  <c r="H26" i="2"/>
  <c r="T6" i="5"/>
  <c r="T10" i="5" s="1"/>
  <c r="T13" i="5" s="1"/>
  <c r="U12" i="5"/>
  <c r="S6" i="5"/>
  <c r="S10" i="5" s="1"/>
  <c r="S13" i="5" s="1"/>
  <c r="U6" i="5"/>
  <c r="U10" i="5" s="1"/>
  <c r="U13" i="5" s="1"/>
  <c r="T12" i="5"/>
  <c r="S12" i="5"/>
  <c r="O6" i="5"/>
  <c r="O10" i="5" s="1"/>
  <c r="O13" i="5" s="1"/>
  <c r="M6" i="5"/>
  <c r="Q6" i="5"/>
  <c r="Q10" i="5" s="1"/>
  <c r="Q13" i="5" s="1"/>
  <c r="N6" i="5"/>
  <c r="N10" i="5" s="1"/>
  <c r="N13" i="5" s="1"/>
  <c r="R6" i="5"/>
  <c r="R10" i="5" s="1"/>
  <c r="R13" i="5" s="1"/>
  <c r="P6" i="5"/>
  <c r="P10" i="5" s="1"/>
  <c r="P13" i="5" s="1"/>
  <c r="L12" i="5"/>
  <c r="P12" i="5"/>
  <c r="M12" i="5"/>
  <c r="E4" i="6" s="1"/>
  <c r="Q12" i="5"/>
  <c r="N12" i="5"/>
  <c r="R12" i="5"/>
  <c r="F4" i="6"/>
  <c r="H51" i="2" l="1"/>
  <c r="I51" i="2" s="1"/>
  <c r="G50" i="2"/>
  <c r="I50" i="2" s="1"/>
  <c r="I26" i="2"/>
  <c r="G25" i="2"/>
  <c r="L6" i="5"/>
  <c r="L10" i="5" s="1"/>
  <c r="L13" i="5" s="1"/>
  <c r="L14" i="5" s="1"/>
  <c r="L15" i="5" s="1"/>
  <c r="M10" i="5"/>
  <c r="M13" i="5" s="1"/>
  <c r="G14" i="2"/>
  <c r="H13" i="2" s="1"/>
  <c r="H11" i="2"/>
  <c r="F6" i="4"/>
  <c r="E6" i="4"/>
  <c r="D6" i="4"/>
  <c r="B6" i="4"/>
  <c r="K8" i="4"/>
  <c r="H6" i="4"/>
  <c r="E5" i="6" l="1"/>
  <c r="E15" i="6"/>
  <c r="M14" i="5"/>
  <c r="N14" i="5" s="1"/>
  <c r="O14" i="5" s="1"/>
  <c r="O15" i="5" s="1"/>
  <c r="I25" i="2"/>
  <c r="G46" i="2"/>
  <c r="L6" i="4"/>
  <c r="H52" i="2" s="1"/>
  <c r="F9" i="4"/>
  <c r="M6" i="4"/>
  <c r="M9" i="4" s="1"/>
  <c r="M12" i="4" s="1"/>
  <c r="N6" i="4"/>
  <c r="N9" i="4" s="1"/>
  <c r="N12" i="4" s="1"/>
  <c r="L9" i="4"/>
  <c r="L12" i="4" s="1"/>
  <c r="F5" i="6"/>
  <c r="F15" i="6"/>
  <c r="L13" i="4" l="1"/>
  <c r="E17" i="6"/>
  <c r="P14" i="5"/>
  <c r="Q14" i="5" s="1"/>
  <c r="M15" i="5"/>
  <c r="N15" i="5"/>
  <c r="G53" i="2"/>
  <c r="I53" i="2" s="1"/>
  <c r="I52" i="2"/>
  <c r="H47" i="2"/>
  <c r="I47" i="2" s="1"/>
  <c r="I46" i="2"/>
  <c r="L11" i="4"/>
  <c r="L14" i="4" s="1"/>
  <c r="E18" i="6" s="1"/>
  <c r="M11" i="4"/>
  <c r="K6" i="4"/>
  <c r="K9" i="4" s="1"/>
  <c r="K12" i="4" s="1"/>
  <c r="K13" i="4" s="1"/>
  <c r="N11" i="4"/>
  <c r="M13" i="4"/>
  <c r="K11" i="4"/>
  <c r="F17" i="6"/>
  <c r="F18" i="6"/>
  <c r="P15" i="5" l="1"/>
  <c r="R14" i="5"/>
  <c r="Q15" i="5"/>
  <c r="M14" i="4"/>
  <c r="N13" i="4"/>
  <c r="N14" i="4" s="1"/>
  <c r="K14" i="4"/>
  <c r="R15" i="5" l="1"/>
  <c r="S14" i="5"/>
  <c r="T14" i="5" l="1"/>
  <c r="S15" i="5"/>
  <c r="U14" i="5" l="1"/>
  <c r="U15" i="5" s="1"/>
  <c r="T15" i="5"/>
  <c r="E4" i="2"/>
  <c r="E5" i="2"/>
  <c r="E6" i="2"/>
  <c r="E9" i="2"/>
  <c r="E10" i="2"/>
  <c r="E11" i="2"/>
  <c r="E12" i="2"/>
  <c r="E13" i="2"/>
  <c r="E14" i="2"/>
  <c r="E15" i="2"/>
  <c r="E16" i="2"/>
  <c r="E17" i="2"/>
  <c r="E20" i="2"/>
  <c r="E21" i="2"/>
  <c r="E22" i="2"/>
  <c r="E3" i="2"/>
  <c r="E2" i="2"/>
  <c r="I22" i="2"/>
  <c r="I21" i="2"/>
  <c r="I20" i="2"/>
  <c r="I17" i="2"/>
  <c r="I16" i="2"/>
  <c r="I15" i="2"/>
  <c r="I14" i="2"/>
  <c r="I13" i="2"/>
  <c r="I12" i="2"/>
  <c r="I11" i="2"/>
  <c r="I10" i="2"/>
  <c r="I9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<sst xmlns="http://schemas.openxmlformats.org/spreadsheetml/2006/main" count="909" uniqueCount="275">
  <si>
    <t>010</t>
  </si>
  <si>
    <t>Środki trwałe</t>
  </si>
  <si>
    <t>020</t>
  </si>
  <si>
    <t>Wartości niematerialne i prawne</t>
  </si>
  <si>
    <t>030</t>
  </si>
  <si>
    <t>Długoterminowe aktywa finansowe</t>
  </si>
  <si>
    <t>Inwestycje w nieruchomości i prawa</t>
  </si>
  <si>
    <t>040</t>
  </si>
  <si>
    <t>070</t>
  </si>
  <si>
    <t>080</t>
  </si>
  <si>
    <t>Środki trwałe w budowie</t>
  </si>
  <si>
    <t>090</t>
  </si>
  <si>
    <t>Ewidencja pozabilansowa</t>
  </si>
  <si>
    <t>100</t>
  </si>
  <si>
    <t>Kasa</t>
  </si>
  <si>
    <t>130</t>
  </si>
  <si>
    <t>Rachunek bankowy</t>
  </si>
  <si>
    <t>139</t>
  </si>
  <si>
    <t>Środki pieniężne w drodze</t>
  </si>
  <si>
    <t>140</t>
  </si>
  <si>
    <t>Krótkoterminowe aktywa finansowe</t>
  </si>
  <si>
    <t>200</t>
  </si>
  <si>
    <t>Rozrachunki z odbiorcami</t>
  </si>
  <si>
    <t>210</t>
  </si>
  <si>
    <t>Rozrachunki z dostawcami</t>
  </si>
  <si>
    <t>221</t>
  </si>
  <si>
    <t>VAT należny</t>
  </si>
  <si>
    <t>222</t>
  </si>
  <si>
    <t>VAT naliczony</t>
  </si>
  <si>
    <t xml:space="preserve">223 </t>
  </si>
  <si>
    <t>Rozrachunki z urzędem skarbowym z tytułu VAT</t>
  </si>
  <si>
    <t>230</t>
  </si>
  <si>
    <t>224</t>
  </si>
  <si>
    <t>CIT</t>
  </si>
  <si>
    <t>225</t>
  </si>
  <si>
    <t>226</t>
  </si>
  <si>
    <t>ZUS</t>
  </si>
  <si>
    <t>PIT</t>
  </si>
  <si>
    <t>227</t>
  </si>
  <si>
    <t>Pozostałe rozrachunki publicznoprawne</t>
  </si>
  <si>
    <t>Rozrachunki z tytułu wynagrodzeń</t>
  </si>
  <si>
    <t>234</t>
  </si>
  <si>
    <t>Pozostałe rozrachunki z pracownikami</t>
  </si>
  <si>
    <t>240</t>
  </si>
  <si>
    <t>Pozostałe rozrachunki</t>
  </si>
  <si>
    <t>300</t>
  </si>
  <si>
    <t>Rozliczenie zakupu</t>
  </si>
  <si>
    <t>310</t>
  </si>
  <si>
    <t>Materiały</t>
  </si>
  <si>
    <t>330</t>
  </si>
  <si>
    <t>Towary</t>
  </si>
  <si>
    <t>340</t>
  </si>
  <si>
    <t>Odchylenia od cen ewidencyjnych materiałów i towarów </t>
  </si>
  <si>
    <t>390</t>
  </si>
  <si>
    <t>Zapasy obce</t>
  </si>
  <si>
    <t>400</t>
  </si>
  <si>
    <t>Amortyzacja</t>
  </si>
  <si>
    <t>401</t>
  </si>
  <si>
    <t>Zużycie materiałów i energii</t>
  </si>
  <si>
    <t>402</t>
  </si>
  <si>
    <t>403</t>
  </si>
  <si>
    <t>404</t>
  </si>
  <si>
    <t>405</t>
  </si>
  <si>
    <t>Usługi obce</t>
  </si>
  <si>
    <t>Podatki i opłaty</t>
  </si>
  <si>
    <t>Wynagrodzenia</t>
  </si>
  <si>
    <t>Ubezpieczenia społeczne i inne świadczenia</t>
  </si>
  <si>
    <t>409</t>
  </si>
  <si>
    <t>Pozostałe koszty rodzajowe</t>
  </si>
  <si>
    <t>490</t>
  </si>
  <si>
    <t>Rozliczenie kosztów</t>
  </si>
  <si>
    <t>500</t>
  </si>
  <si>
    <t>Koszty działalności podstawowej - produkcyjnej</t>
  </si>
  <si>
    <t>520</t>
  </si>
  <si>
    <t>Koszty działalności podstawowej - handlowej</t>
  </si>
  <si>
    <t>530</t>
  </si>
  <si>
    <t>Koszty działalności pomocniczej</t>
  </si>
  <si>
    <t>550</t>
  </si>
  <si>
    <t>Koszty zarządu</t>
  </si>
  <si>
    <t>Rozliczenie kosztów działalności</t>
  </si>
  <si>
    <t>580</t>
  </si>
  <si>
    <t>Produkty gotowe i półprodukty </t>
  </si>
  <si>
    <t>600</t>
  </si>
  <si>
    <t>620</t>
  </si>
  <si>
    <t>640</t>
  </si>
  <si>
    <t>641</t>
  </si>
  <si>
    <t>Rozliczenia międzyokresowe bierne</t>
  </si>
  <si>
    <t>Odchylenia od cen ewidencyjnych produktów </t>
  </si>
  <si>
    <t>700</t>
  </si>
  <si>
    <t>701</t>
  </si>
  <si>
    <t>Koszt sprzedanych produktów</t>
  </si>
  <si>
    <t>730</t>
  </si>
  <si>
    <t>731</t>
  </si>
  <si>
    <t>Sprzedaż produktów</t>
  </si>
  <si>
    <t>Sprzedaż towarów</t>
  </si>
  <si>
    <t>Wartość sprzedanych towarów w cenach zakupu (nabycia)</t>
  </si>
  <si>
    <t>750</t>
  </si>
  <si>
    <t>751</t>
  </si>
  <si>
    <t>760</t>
  </si>
  <si>
    <t>761</t>
  </si>
  <si>
    <t>Pozostałe koszty operacyjne</t>
  </si>
  <si>
    <t>Pozostałe przychody operacyjne</t>
  </si>
  <si>
    <t>Przychody finansowe</t>
  </si>
  <si>
    <t>Koszty finansowe</t>
  </si>
  <si>
    <t>800</t>
  </si>
  <si>
    <t>Kapitał zakładowy</t>
  </si>
  <si>
    <t>810</t>
  </si>
  <si>
    <t>Kapitał zapasowy</t>
  </si>
  <si>
    <t>820</t>
  </si>
  <si>
    <t>Rozliczenie wyniku finansowego</t>
  </si>
  <si>
    <t>Rezerwy </t>
  </si>
  <si>
    <t>830</t>
  </si>
  <si>
    <t>840</t>
  </si>
  <si>
    <t>Rozliczenia międzyokresowe przychodów</t>
  </si>
  <si>
    <t>850</t>
  </si>
  <si>
    <t>860</t>
  </si>
  <si>
    <t>Fundusze specjalne</t>
  </si>
  <si>
    <t>Wynik finansowy</t>
  </si>
  <si>
    <t>Data księgowania</t>
  </si>
  <si>
    <t>Data dokumentu</t>
  </si>
  <si>
    <t>Numer dokumentu</t>
  </si>
  <si>
    <t>Konto księgowe</t>
  </si>
  <si>
    <t>Opis konta księgowego</t>
  </si>
  <si>
    <t>Opis transakcji</t>
  </si>
  <si>
    <t>Wn</t>
  </si>
  <si>
    <t>Ma</t>
  </si>
  <si>
    <t>Saldo</t>
  </si>
  <si>
    <t>Komentarz</t>
  </si>
  <si>
    <t>WB 1/2020</t>
  </si>
  <si>
    <t>Wpłata kapitału zakładowego</t>
  </si>
  <si>
    <t>CIT (KUP/NKUP)</t>
  </si>
  <si>
    <t>Rodzaj konta</t>
  </si>
  <si>
    <t>B</t>
  </si>
  <si>
    <t>FV 1/02/2020</t>
  </si>
  <si>
    <t>Usługi księgowe za 01/2020</t>
  </si>
  <si>
    <t>KUP</t>
  </si>
  <si>
    <t>W</t>
  </si>
  <si>
    <t>FV 124/2020</t>
  </si>
  <si>
    <t>Czasopismo branżowe za IIQ 2020</t>
  </si>
  <si>
    <t>Rozliczenia międzyokresowe czynne</t>
  </si>
  <si>
    <t>RMK czynne - konto 640</t>
  </si>
  <si>
    <t>Nr RMK</t>
  </si>
  <si>
    <t>Opis RMK</t>
  </si>
  <si>
    <t>Nazwa kontrahenta</t>
  </si>
  <si>
    <t>Kwota netto</t>
  </si>
  <si>
    <t>Ilość okresów</t>
  </si>
  <si>
    <t>Ilość dni w okresie</t>
  </si>
  <si>
    <t>Data początkowa</t>
  </si>
  <si>
    <t>Data końcowa</t>
  </si>
  <si>
    <t>1/2020</t>
  </si>
  <si>
    <t>Wartość brutto</t>
  </si>
  <si>
    <t>Rata w bieżącym miesiącu</t>
  </si>
  <si>
    <t>Raty narastająco</t>
  </si>
  <si>
    <t>Wartość netto</t>
  </si>
  <si>
    <t>Kontrahent X</t>
  </si>
  <si>
    <t>PK 1/02/2020</t>
  </si>
  <si>
    <t>VAT 02/2020</t>
  </si>
  <si>
    <t>FV 4329345</t>
  </si>
  <si>
    <t xml:space="preserve">Zakup laptopa </t>
  </si>
  <si>
    <t>OT 1/2020</t>
  </si>
  <si>
    <t>Przyjęcie laptopa do używania</t>
  </si>
  <si>
    <t>Laptop może być amortyzowany jednorazowo lub liniowo</t>
  </si>
  <si>
    <t>Ewidencja środków trwałych</t>
  </si>
  <si>
    <t>Nr środka trwałego</t>
  </si>
  <si>
    <t>Nazwa środka trwałego</t>
  </si>
  <si>
    <t>Opis</t>
  </si>
  <si>
    <t>Lokalizacja fizyczna</t>
  </si>
  <si>
    <t>Nr seryjny</t>
  </si>
  <si>
    <t>Data nabycia</t>
  </si>
  <si>
    <t>Koszt nabycia / wytworzenia</t>
  </si>
  <si>
    <t>KŚT</t>
  </si>
  <si>
    <t>Data rozpoczęcia amortyzacji</t>
  </si>
  <si>
    <t>Metoda amortyzacji</t>
  </si>
  <si>
    <t>Stawka amortyzacyjna</t>
  </si>
  <si>
    <t>Amortyzacja w bieżącym roku</t>
  </si>
  <si>
    <t>Laptop Dell</t>
  </si>
  <si>
    <t>Specyfikacja techniczna</t>
  </si>
  <si>
    <t>Wrocław</t>
  </si>
  <si>
    <t>487</t>
  </si>
  <si>
    <t>Liniowa</t>
  </si>
  <si>
    <t>Umorzenie w danym miesiącu</t>
  </si>
  <si>
    <t>Umorzenie narastająco</t>
  </si>
  <si>
    <t>FV 5/03/2020</t>
  </si>
  <si>
    <t>Zakupów towarów</t>
  </si>
  <si>
    <t>PZ 1/2020</t>
  </si>
  <si>
    <t>Przyjęcie towarów na magazyn</t>
  </si>
  <si>
    <t>FVS 1/03/2020</t>
  </si>
  <si>
    <t>Faktura sprzedaży towarów</t>
  </si>
  <si>
    <t>75 szt., marża 20%</t>
  </si>
  <si>
    <t>WZ 1/2020</t>
  </si>
  <si>
    <t>Wydanie towaru (75 szt.)</t>
  </si>
  <si>
    <t>75 szt. po 58 zł</t>
  </si>
  <si>
    <t>100 szt. każdy po 58 zł</t>
  </si>
  <si>
    <t>FV 1/03/2020</t>
  </si>
  <si>
    <t>Usługi księgowe za 02/2020</t>
  </si>
  <si>
    <t>PK 1/03/2020</t>
  </si>
  <si>
    <t>Row Labels</t>
  </si>
  <si>
    <t>Grand Total</t>
  </si>
  <si>
    <t>Sum of Saldo</t>
  </si>
  <si>
    <t>VAT 03/2020</t>
  </si>
  <si>
    <t>AM 1/04/2020</t>
  </si>
  <si>
    <t>Amortyzacja 04/2020</t>
  </si>
  <si>
    <t>WB 2/2020</t>
  </si>
  <si>
    <t>WB 3/2020</t>
  </si>
  <si>
    <t>Zapłata za fakturę FV 1/02/2020</t>
  </si>
  <si>
    <t>Zapłata za fakturę FV 124/2020</t>
  </si>
  <si>
    <t>Zapłata za fakturę FV 4329345</t>
  </si>
  <si>
    <t>Opłaty bankowe 03/2020</t>
  </si>
  <si>
    <t>Column Labels</t>
  </si>
  <si>
    <t>lut</t>
  </si>
  <si>
    <t>mar</t>
  </si>
  <si>
    <t>kwi</t>
  </si>
  <si>
    <t>Dochód do opodatkowania</t>
  </si>
  <si>
    <t>Stawka podatku</t>
  </si>
  <si>
    <t>PK 2/03/2020</t>
  </si>
  <si>
    <t>CIT 03/2020</t>
  </si>
  <si>
    <t>870</t>
  </si>
  <si>
    <t>Podatek dochodowy</t>
  </si>
  <si>
    <t>Odpisy umorzeniowe ŚT, WNIP</t>
  </si>
  <si>
    <t>Usługi księgowe za 03/2020</t>
  </si>
  <si>
    <t>FV 1/04/2020</t>
  </si>
  <si>
    <t>RMK 1/04/2020</t>
  </si>
  <si>
    <t>WB 4/2020</t>
  </si>
  <si>
    <t>Zapłatę za FVS 1/03/2020</t>
  </si>
  <si>
    <t>Spłata częściowa FV 5/03/2020</t>
  </si>
  <si>
    <t>Opłaty bankowe 04/2020</t>
  </si>
  <si>
    <t>Zapłacono po terminie (termin był do 20 kwietnia 2020)</t>
  </si>
  <si>
    <t>Zapłata CIT 03/2020</t>
  </si>
  <si>
    <t>PK 1/04/2020</t>
  </si>
  <si>
    <t>VAT 04/2020</t>
  </si>
  <si>
    <t>Opis zaległości podatkowej</t>
  </si>
  <si>
    <t>Okres zaległości podatkowej</t>
  </si>
  <si>
    <t>Kwota zaległości</t>
  </si>
  <si>
    <t>Termin na zapłatę</t>
  </si>
  <si>
    <t>Data zapłaty</t>
  </si>
  <si>
    <t>Ilość dni zwłoki</t>
  </si>
  <si>
    <t>Stawka [%]</t>
  </si>
  <si>
    <t>Kwota odsetek</t>
  </si>
  <si>
    <t>Łączna kwota do zapłaty</t>
  </si>
  <si>
    <t>CIT zaliczka</t>
  </si>
  <si>
    <t>Saldo docelowe</t>
  </si>
  <si>
    <t>Różnica</t>
  </si>
  <si>
    <t>Zapłacono po terminie (termin był do 20 kwietnia 2020, ale są równe 0)</t>
  </si>
  <si>
    <t>Spłacone w całości</t>
  </si>
  <si>
    <t>Nie są zapłacone 3 faktury</t>
  </si>
  <si>
    <t>Wiekowanie (zakładając, że termin płatności wynosi 14 dni)</t>
  </si>
  <si>
    <t>Numer fv</t>
  </si>
  <si>
    <t>Data fv</t>
  </si>
  <si>
    <t>Data płatności</t>
  </si>
  <si>
    <t>Wiek na dzień 30.04.2020</t>
  </si>
  <si>
    <t>powinno być zgodne z deklaracją na koniec kwietnia 2020 r.</t>
  </si>
  <si>
    <t>Zapłacono</t>
  </si>
  <si>
    <t>Ilość</t>
  </si>
  <si>
    <t>Data przyjęcia / wydania</t>
  </si>
  <si>
    <t>Cena jednostkowa</t>
  </si>
  <si>
    <t>Do tego uzgodnienia dołączam także screen z wyciągu bankowego na dzień 30.04.2020</t>
  </si>
  <si>
    <t>Wartość końcowa</t>
  </si>
  <si>
    <t>Dokument przyjęcia / wydania</t>
  </si>
  <si>
    <t>Wartość nabycia / wydania</t>
  </si>
  <si>
    <t>tabela ŚT</t>
  </si>
  <si>
    <t>wyciąg bankowy / przepływy środków pieniężnych</t>
  </si>
  <si>
    <t>wiekowanie</t>
  </si>
  <si>
    <t>deklaracja VAT + uzgodnienie kont VAT</t>
  </si>
  <si>
    <t>kalkulacja zaliczki na CIT</t>
  </si>
  <si>
    <t>stan magazynowy</t>
  </si>
  <si>
    <t>RMK</t>
  </si>
  <si>
    <t>KRS</t>
  </si>
  <si>
    <t>pozostałe koszty</t>
  </si>
  <si>
    <t>księgowość</t>
  </si>
  <si>
    <t>opłaty bankowe</t>
  </si>
  <si>
    <t>zaokrąglenia</t>
  </si>
  <si>
    <t>Cena sprzedaży</t>
  </si>
  <si>
    <t>Wartość sprzedaży</t>
  </si>
  <si>
    <t>Uzgodnienie na dzień 30.04.2020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</si>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</sst>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[$-415]mmm\ yy;@"/>
    <numFmt numFmtId="166" formatCode="[$-415]mmmm\ yy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quotePrefix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1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1" quotePrefix="1" applyNumberFormat="1" applyFont="1" applyBorder="1" applyAlignment="1">
      <alignment horizontal="center" vertical="center" wrapText="1"/>
    </xf>
    <xf numFmtId="14" fontId="0" fillId="0" borderId="1" xfId="1" quotePrefix="1" applyNumberFormat="1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 wrapText="1"/>
    </xf>
    <xf numFmtId="44" fontId="0" fillId="0" borderId="6" xfId="1" applyFont="1" applyBorder="1" applyAlignment="1">
      <alignment vertical="center" wrapText="1"/>
    </xf>
    <xf numFmtId="44" fontId="0" fillId="0" borderId="1" xfId="1" applyFont="1" applyBorder="1"/>
    <xf numFmtId="44" fontId="0" fillId="0" borderId="7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3" fillId="2" borderId="4" xfId="1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3" borderId="0" xfId="0" applyFont="1" applyFill="1"/>
    <xf numFmtId="44" fontId="3" fillId="3" borderId="8" xfId="0" applyNumberFormat="1" applyFont="1" applyFill="1" applyBorder="1"/>
    <xf numFmtId="44" fontId="3" fillId="3" borderId="10" xfId="0" applyNumberFormat="1" applyFont="1" applyFill="1" applyBorder="1"/>
    <xf numFmtId="0" fontId="3" fillId="0" borderId="0" xfId="0" applyFont="1"/>
    <xf numFmtId="44" fontId="0" fillId="0" borderId="8" xfId="0" applyNumberFormat="1" applyBorder="1"/>
    <xf numFmtId="44" fontId="0" fillId="0" borderId="0" xfId="0" applyNumberFormat="1"/>
    <xf numFmtId="44" fontId="0" fillId="0" borderId="10" xfId="0" applyNumberFormat="1" applyBorder="1"/>
    <xf numFmtId="44" fontId="3" fillId="3" borderId="11" xfId="0" applyNumberFormat="1" applyFont="1" applyFill="1" applyBorder="1"/>
    <xf numFmtId="44" fontId="3" fillId="3" borderId="12" xfId="0" applyNumberFormat="1" applyFont="1" applyFill="1" applyBorder="1"/>
    <xf numFmtId="44" fontId="3" fillId="3" borderId="13" xfId="0" applyNumberFormat="1" applyFont="1" applyFill="1" applyBorder="1"/>
    <xf numFmtId="44" fontId="3" fillId="3" borderId="0" xfId="0" applyNumberFormat="1" applyFont="1" applyFill="1" applyBorder="1"/>
    <xf numFmtId="44" fontId="0" fillId="0" borderId="0" xfId="0" applyNumberFormat="1" applyBorder="1"/>
    <xf numFmtId="44" fontId="0" fillId="0" borderId="14" xfId="1" applyFont="1" applyBorder="1"/>
    <xf numFmtId="44" fontId="3" fillId="2" borderId="3" xfId="1" applyFont="1" applyFill="1" applyBorder="1" applyAlignment="1">
      <alignment horizontal="center" vertical="center" wrapText="1"/>
    </xf>
    <xf numFmtId="0" fontId="0" fillId="0" borderId="0" xfId="0" applyBorder="1"/>
    <xf numFmtId="44" fontId="3" fillId="3" borderId="9" xfId="0" applyNumberFormat="1" applyFont="1" applyFill="1" applyBorder="1"/>
    <xf numFmtId="44" fontId="0" fillId="0" borderId="9" xfId="0" applyNumberFormat="1" applyBorder="1"/>
    <xf numFmtId="44" fontId="3" fillId="3" borderId="15" xfId="0" applyNumberFormat="1" applyFont="1" applyFill="1" applyBorder="1"/>
    <xf numFmtId="44" fontId="0" fillId="0" borderId="14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44" fontId="0" fillId="0" borderId="1" xfId="1" quotePrefix="1" applyFont="1" applyBorder="1" applyAlignment="1">
      <alignment vertical="center" wrapText="1"/>
    </xf>
    <xf numFmtId="14" fontId="0" fillId="0" borderId="1" xfId="1" quotePrefix="1" applyNumberFormat="1" applyFont="1" applyBorder="1" applyAlignment="1">
      <alignment vertical="center" wrapText="1"/>
    </xf>
    <xf numFmtId="9" fontId="0" fillId="0" borderId="16" xfId="0" applyNumberFormat="1" applyBorder="1" applyAlignment="1">
      <alignment horizontal="right" vertical="center" wrapText="1"/>
    </xf>
    <xf numFmtId="44" fontId="0" fillId="0" borderId="14" xfId="1" applyFont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16" xfId="0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3" fillId="4" borderId="1" xfId="0" applyFont="1" applyFill="1" applyBorder="1" applyAlignment="1">
      <alignment horizontal="left"/>
    </xf>
    <xf numFmtId="0" fontId="0" fillId="4" borderId="1" xfId="0" applyFill="1" applyBorder="1"/>
    <xf numFmtId="44" fontId="0" fillId="4" borderId="1" xfId="0" applyNumberFormat="1" applyFill="1" applyBorder="1"/>
    <xf numFmtId="0" fontId="0" fillId="4" borderId="16" xfId="0" applyFill="1" applyBorder="1"/>
    <xf numFmtId="44" fontId="0" fillId="4" borderId="6" xfId="0" applyNumberFormat="1" applyFill="1" applyBorder="1"/>
    <xf numFmtId="44" fontId="0" fillId="4" borderId="14" xfId="0" applyNumberFormat="1" applyFill="1" applyBorder="1"/>
    <xf numFmtId="44" fontId="0" fillId="4" borderId="7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0" fillId="0" borderId="0" xfId="0" applyNumberFormat="1"/>
    <xf numFmtId="9" fontId="3" fillId="0" borderId="0" xfId="0" applyNumberFormat="1" applyFont="1"/>
    <xf numFmtId="0" fontId="3" fillId="0" borderId="0" xfId="0" applyFont="1" applyAlignment="1">
      <alignment horizontal="right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4" fontId="3" fillId="5" borderId="17" xfId="0" applyNumberFormat="1" applyFont="1" applyFill="1" applyBorder="1" applyAlignment="1">
      <alignment horizontal="center"/>
    </xf>
    <xf numFmtId="44" fontId="0" fillId="0" borderId="0" xfId="1" applyFont="1"/>
    <xf numFmtId="164" fontId="0" fillId="7" borderId="0" xfId="0" applyNumberFormat="1" applyFill="1"/>
    <xf numFmtId="164" fontId="0" fillId="8" borderId="0" xfId="0" applyNumberFormat="1" applyFill="1"/>
    <xf numFmtId="14" fontId="0" fillId="7" borderId="0" xfId="0" applyNumberFormat="1" applyFill="1"/>
    <xf numFmtId="0" fontId="0" fillId="7" borderId="0" xfId="0" applyFill="1"/>
    <xf numFmtId="164" fontId="0" fillId="7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6" fillId="0" borderId="0" xfId="0" applyFont="1"/>
    <xf numFmtId="164" fontId="3" fillId="0" borderId="0" xfId="0" applyNumberFormat="1" applyFont="1"/>
    <xf numFmtId="0" fontId="6" fillId="0" borderId="0" xfId="0" quotePrefix="1" applyFont="1" applyAlignment="1">
      <alignment horizontal="right"/>
    </xf>
    <xf numFmtId="4" fontId="4" fillId="0" borderId="0" xfId="0" applyNumberFormat="1" applyFont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7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a Głowacka" refreshedDate="44025.870938541666" createdVersion="6" refreshedVersion="6" minRefreshableVersion="3" recordCount="58" xr:uid="{E7235EBC-C779-4439-98F0-C91D0012E53E}">
  <cacheSource type="worksheet">
    <worksheetSource ref="A1:L59" sheet="Księgowania za 2020 r."/>
  </cacheSource>
  <cacheFields count="12">
    <cacheField name="Data księgowania" numFmtId="14">
      <sharedItems containsSemiMixedTypes="0" containsNonDate="0" containsDate="1" containsString="0" minDate="2020-01-31T00:00:00" maxDate="2020-05-01T00:00:00"/>
    </cacheField>
    <cacheField name="Data dokumentu" numFmtId="14">
      <sharedItems containsSemiMixedTypes="0" containsNonDate="0" containsDate="1" containsString="0" minDate="2020-01-25T00:00:00" maxDate="2020-05-01T00:00:00"/>
    </cacheField>
    <cacheField name="Numer dokumentu" numFmtId="0">
      <sharedItems/>
    </cacheField>
    <cacheField name="Konto księgowe" numFmtId="0">
      <sharedItems count="20">
        <s v="130"/>
        <s v="800"/>
        <s v="210"/>
        <s v="222"/>
        <s v="402"/>
        <s v="640"/>
        <s v="223 "/>
        <s v="300"/>
        <s v="010"/>
        <s v="330"/>
        <s v="200"/>
        <s v="221"/>
        <s v="730"/>
        <s v="731"/>
        <s v="761"/>
        <s v="226"/>
        <s v="870"/>
        <s v="400"/>
        <s v="070"/>
        <s v="409"/>
      </sharedItems>
    </cacheField>
    <cacheField name="Opis konta księgowego" numFmtId="0">
      <sharedItems count="20">
        <s v="Rachunek bankowy"/>
        <s v="Kapitał zakładowy"/>
        <s v="Rozrachunki z dostawcami"/>
        <s v="VAT naliczony"/>
        <s v="Usługi obce"/>
        <s v="Rozliczenia międzyokresowe czynne"/>
        <s v="Rozrachunki z urzędem skarbowym z tytułu VAT"/>
        <s v="Rozliczenie zakupu"/>
        <s v="Środki trwałe"/>
        <s v="Towary"/>
        <s v="Rozrachunki z odbiorcami"/>
        <s v="VAT należny"/>
        <s v="Sprzedaż towarów"/>
        <s v="Wartość sprzedanych towarów w cenach zakupu (nabycia)"/>
        <s v="Pozostałe koszty operacyjne"/>
        <s v="CIT"/>
        <s v="Podatek dochodowy"/>
        <s v="Amortyzacja"/>
        <s v="Odpisy umorzeniowe ŚT, WNIP"/>
        <s v="Pozostałe koszty rodzajowe"/>
      </sharedItems>
    </cacheField>
    <cacheField name="Opis transakcji" numFmtId="0">
      <sharedItems/>
    </cacheField>
    <cacheField name="Wn" numFmtId="164">
      <sharedItems containsString="0" containsBlank="1" containsNumber="1" minValue="0.4" maxValue="6420.6"/>
    </cacheField>
    <cacheField name="Ma" numFmtId="164">
      <sharedItems containsString="0" containsBlank="1" containsNumber="1" minValue="46" maxValue="7134"/>
    </cacheField>
    <cacheField name="Saldo" numFmtId="164">
      <sharedItems containsSemiMixedTypes="0" containsString="0" containsNumber="1" minValue="-7134" maxValue="6420.6"/>
    </cacheField>
    <cacheField name="Rodzaj konta" numFmtId="164">
      <sharedItems/>
    </cacheField>
    <cacheField name="CIT (KUP/NKUP)" numFmtId="0">
      <sharedItems containsBlank="1"/>
    </cacheField>
    <cacheField name="Komentarz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a Głowacka" refreshedDate="44025.876839004632" createdVersion="6" refreshedVersion="6" minRefreshableVersion="3" recordCount="13" xr:uid="{2F1E0B8F-9DBE-4D1E-832B-5FCC6637BFFE}">
  <cacheSource type="worksheet">
    <worksheetSource ref="A1:J14" sheet="VAT"/>
  </cacheSource>
  <cacheFields count="11">
    <cacheField name="Data księgowania" numFmtId="14">
      <sharedItems containsSemiMixedTypes="0" containsNonDate="0" containsDate="1" containsString="0" minDate="2020-02-05T00:00:00" maxDate="2020-05-01T00:00:00" count="8">
        <d v="2020-02-05T00:00:00"/>
        <d v="2020-02-28T00:00:00"/>
        <d v="2020-03-01T00:00:00"/>
        <d v="2020-03-15T00:00:00"/>
        <d v="2020-03-24T00:00:00"/>
        <d v="2020-03-31T00:00:00"/>
        <d v="2020-04-10T00:00:00"/>
        <d v="2020-04-30T00:00:00"/>
      </sharedItems>
      <fieldGroup par="10" base="0">
        <rangePr groupBy="days" startDate="2020-02-05T00:00:00" endDate="2020-05-01T00:00:00"/>
        <groupItems count="368">
          <s v="&lt;05.02.2020"/>
          <s v="01.sty"/>
          <s v="02.sty"/>
          <s v="03.sty"/>
          <s v="04.sty"/>
          <s v="05.sty"/>
          <s v="06.sty"/>
          <s v="07.sty"/>
          <s v="08.sty"/>
          <s v="09.sty"/>
          <s v="10.sty"/>
          <s v="11.sty"/>
          <s v="12.sty"/>
          <s v="13.sty"/>
          <s v="14.sty"/>
          <s v="15.sty"/>
          <s v="16.sty"/>
          <s v="17.sty"/>
          <s v="18.sty"/>
          <s v="19.sty"/>
          <s v="20.sty"/>
          <s v="21.sty"/>
          <s v="22.sty"/>
          <s v="23.sty"/>
          <s v="24.sty"/>
          <s v="25.sty"/>
          <s v="26.sty"/>
          <s v="27.sty"/>
          <s v="28.sty"/>
          <s v="29.sty"/>
          <s v="30.sty"/>
          <s v="31.sty"/>
          <s v="01.lut"/>
          <s v="02.lut"/>
          <s v="03.lut"/>
          <s v="04.lut"/>
          <s v="05.lut"/>
          <s v="06.lut"/>
          <s v="07.lut"/>
          <s v="08.lut"/>
          <s v="09.lut"/>
          <s v="10.lut"/>
          <s v="11.lut"/>
          <s v="12.lut"/>
          <s v="13.lut"/>
          <s v="14.lut"/>
          <s v="15.lut"/>
          <s v="16.lut"/>
          <s v="17.lut"/>
          <s v="18.lut"/>
          <s v="19.lut"/>
          <s v="20.lut"/>
          <s v="21.lut"/>
          <s v="22.lut"/>
          <s v="23.lut"/>
          <s v="24.lut"/>
          <s v="25.lut"/>
          <s v="26.lut"/>
          <s v="27.lut"/>
          <s v="28.lut"/>
          <s v="29.lut"/>
          <s v="01.mar"/>
          <s v="02.mar"/>
          <s v="03.mar"/>
          <s v="04.mar"/>
          <s v="05.mar"/>
          <s v="06.mar"/>
          <s v="07.mar"/>
          <s v="08.mar"/>
          <s v="0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01.kwi"/>
          <s v="02.kwi"/>
          <s v="03.kwi"/>
          <s v="04.kwi"/>
          <s v="05.kwi"/>
          <s v="06.kwi"/>
          <s v="07.kwi"/>
          <s v="08.kwi"/>
          <s v="09.kwi"/>
          <s v="10.kwi"/>
          <s v="11.kwi"/>
          <s v="12.kwi"/>
          <s v="13.kwi"/>
          <s v="14.kwi"/>
          <s v="15.kwi"/>
          <s v="16.kwi"/>
          <s v="17.kwi"/>
          <s v="18.kwi"/>
          <s v="19.kwi"/>
          <s v="20.kwi"/>
          <s v="21.kwi"/>
          <s v="22.kwi"/>
          <s v="23.kwi"/>
          <s v="24.kwi"/>
          <s v="25.kwi"/>
          <s v="26.kwi"/>
          <s v="27.kwi"/>
          <s v="28.kwi"/>
          <s v="29.kwi"/>
          <s v="30.kwi"/>
          <s v="01.maj"/>
          <s v="02.maj"/>
          <s v="03.maj"/>
          <s v="04.maj"/>
          <s v="05.maj"/>
          <s v="06.maj"/>
          <s v="07.maj"/>
          <s v="08.maj"/>
          <s v="0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01.cze"/>
          <s v="02.cze"/>
          <s v="03.cze"/>
          <s v="04.cze"/>
          <s v="05.cze"/>
          <s v="06.cze"/>
          <s v="07.cze"/>
          <s v="08.cze"/>
          <s v="09.cze"/>
          <s v="10.cze"/>
          <s v="11.cze"/>
          <s v="12.cze"/>
          <s v="13.cze"/>
          <s v="14.cze"/>
          <s v="15.cze"/>
          <s v="16.cze"/>
          <s v="17.cze"/>
          <s v="18.cze"/>
          <s v="19.cze"/>
          <s v="20.cze"/>
          <s v="21.cze"/>
          <s v="22.cze"/>
          <s v="23.cze"/>
          <s v="24.cze"/>
          <s v="25.cze"/>
          <s v="26.cze"/>
          <s v="27.cze"/>
          <s v="28.cze"/>
          <s v="29.cze"/>
          <s v="30.cze"/>
          <s v="01.lip"/>
          <s v="02.lip"/>
          <s v="03.lip"/>
          <s v="04.lip"/>
          <s v="05.lip"/>
          <s v="06.lip"/>
          <s v="07.lip"/>
          <s v="08.lip"/>
          <s v="09.lip"/>
          <s v="10.lip"/>
          <s v="11.lip"/>
          <s v="12.lip"/>
          <s v="13.lip"/>
          <s v="14.lip"/>
          <s v="15.lip"/>
          <s v="16.lip"/>
          <s v="17.lip"/>
          <s v="18.lip"/>
          <s v="19.lip"/>
          <s v="20.lip"/>
          <s v="21.lip"/>
          <s v="22.lip"/>
          <s v="23.lip"/>
          <s v="24.lip"/>
          <s v="25.lip"/>
          <s v="26.lip"/>
          <s v="27.lip"/>
          <s v="28.lip"/>
          <s v="29.lip"/>
          <s v="30.lip"/>
          <s v="31.lip"/>
          <s v="01.sie"/>
          <s v="02.sie"/>
          <s v="03.sie"/>
          <s v="04.sie"/>
          <s v="05.sie"/>
          <s v="06.sie"/>
          <s v="07.sie"/>
          <s v="08.sie"/>
          <s v="09.sie"/>
          <s v="10.sie"/>
          <s v="11.sie"/>
          <s v="12.sie"/>
          <s v="13.sie"/>
          <s v="14.sie"/>
          <s v="15.sie"/>
          <s v="16.sie"/>
          <s v="17.sie"/>
          <s v="18.sie"/>
          <s v="19.sie"/>
          <s v="20.sie"/>
          <s v="21.sie"/>
          <s v="22.sie"/>
          <s v="23.sie"/>
          <s v="24.sie"/>
          <s v="25.sie"/>
          <s v="26.sie"/>
          <s v="27.sie"/>
          <s v="28.sie"/>
          <s v="29.sie"/>
          <s v="30.sie"/>
          <s v="31.sie"/>
          <s v="01.wrz"/>
          <s v="02.wrz"/>
          <s v="03.wrz"/>
          <s v="04.wrz"/>
          <s v="05.wrz"/>
          <s v="06.wrz"/>
          <s v="07.wrz"/>
          <s v="08.wrz"/>
          <s v="09.wrz"/>
          <s v="10.wrz"/>
          <s v="11.wrz"/>
          <s v="12.wrz"/>
          <s v="13.wrz"/>
          <s v="14.wrz"/>
          <s v="15.wrz"/>
          <s v="16.wrz"/>
          <s v="17.wrz"/>
          <s v="18.wrz"/>
          <s v="19.wrz"/>
          <s v="20.wrz"/>
          <s v="21.wrz"/>
          <s v="22.wrz"/>
          <s v="23.wrz"/>
          <s v="24.wrz"/>
          <s v="25.wrz"/>
          <s v="26.wrz"/>
          <s v="27.wrz"/>
          <s v="28.wrz"/>
          <s v="29.wrz"/>
          <s v="30.wrz"/>
          <s v="01.paź"/>
          <s v="02.paź"/>
          <s v="03.paź"/>
          <s v="04.paź"/>
          <s v="05.paź"/>
          <s v="06.paź"/>
          <s v="07.paź"/>
          <s v="08.paź"/>
          <s v="09.paź"/>
          <s v="10.paź"/>
          <s v="11.paź"/>
          <s v="12.paź"/>
          <s v="13.paź"/>
          <s v="14.paź"/>
          <s v="15.paź"/>
          <s v="16.paź"/>
          <s v="17.paź"/>
          <s v="18.paź"/>
          <s v="19.paź"/>
          <s v="20.paź"/>
          <s v="21.paź"/>
          <s v="22.paź"/>
          <s v="23.paź"/>
          <s v="24.paź"/>
          <s v="25.paź"/>
          <s v="26.paź"/>
          <s v="27.paź"/>
          <s v="28.paź"/>
          <s v="29.paź"/>
          <s v="30.paź"/>
          <s v="31.paź"/>
          <s v="01.lis"/>
          <s v="02.lis"/>
          <s v="03.lis"/>
          <s v="04.lis"/>
          <s v="05.lis"/>
          <s v="06.lis"/>
          <s v="07.lis"/>
          <s v="08.lis"/>
          <s v="09.lis"/>
          <s v="10.lis"/>
          <s v="11.lis"/>
          <s v="12.lis"/>
          <s v="13.lis"/>
          <s v="14.lis"/>
          <s v="15.lis"/>
          <s v="16.lis"/>
          <s v="17.lis"/>
          <s v="18.lis"/>
          <s v="19.lis"/>
          <s v="20.lis"/>
          <s v="21.lis"/>
          <s v="22.lis"/>
          <s v="23.lis"/>
          <s v="24.lis"/>
          <s v="25.lis"/>
          <s v="26.lis"/>
          <s v="27.lis"/>
          <s v="28.lis"/>
          <s v="29.lis"/>
          <s v="30.lis"/>
          <s v="01.gru"/>
          <s v="02.gru"/>
          <s v="03.gru"/>
          <s v="04.gru"/>
          <s v="05.gru"/>
          <s v="06.gru"/>
          <s v="07.gru"/>
          <s v="08.gru"/>
          <s v="09.gru"/>
          <s v="10.gru"/>
          <s v="11.gru"/>
          <s v="12.gru"/>
          <s v="13.gru"/>
          <s v="14.gru"/>
          <s v="15.gru"/>
          <s v="16.gru"/>
          <s v="17.gru"/>
          <s v="18.gru"/>
          <s v="19.gru"/>
          <s v="20.gru"/>
          <s v="21.gru"/>
          <s v="22.gru"/>
          <s v="23.gru"/>
          <s v="24.gru"/>
          <s v="25.gru"/>
          <s v="26.gru"/>
          <s v="27.gru"/>
          <s v="28.gru"/>
          <s v="29.gru"/>
          <s v="30.gru"/>
          <s v="31.gru"/>
          <s v="&gt;01.05.2020"/>
        </groupItems>
      </fieldGroup>
    </cacheField>
    <cacheField name="Data dokumentu" numFmtId="14">
      <sharedItems containsSemiMixedTypes="0" containsNonDate="0" containsDate="1" containsString="0" minDate="2020-02-05T00:00:00" maxDate="2020-05-01T00:00:00"/>
    </cacheField>
    <cacheField name="Numer dokumentu" numFmtId="0">
      <sharedItems/>
    </cacheField>
    <cacheField name="Konto księgowe" numFmtId="0">
      <sharedItems count="3">
        <s v="222"/>
        <s v="223 "/>
        <s v="221"/>
      </sharedItems>
    </cacheField>
    <cacheField name="Opis konta księgowego" numFmtId="0">
      <sharedItems count="3">
        <s v="VAT naliczony"/>
        <s v="Rozrachunki z urzędem skarbowym z tytułu VAT"/>
        <s v="VAT należny"/>
      </sharedItems>
    </cacheField>
    <cacheField name="Opis transakcji" numFmtId="0">
      <sharedItems/>
    </cacheField>
    <cacheField name="Wn" numFmtId="164">
      <sharedItems containsString="0" containsBlank="1" containsNumber="1" minValue="46" maxValue="1334"/>
    </cacheField>
    <cacheField name="Ma" numFmtId="164">
      <sharedItems containsString="0" containsBlank="1" containsNumber="1" minValue="46" maxValue="2070"/>
    </cacheField>
    <cacheField name="Saldo" numFmtId="164">
      <sharedItems containsSemiMixedTypes="0" containsString="0" containsNumber="1" minValue="-2070" maxValue="1334"/>
    </cacheField>
    <cacheField name="Rodzaj konta" numFmtId="164">
      <sharedItems/>
    </cacheField>
    <cacheField name="Months" numFmtId="0" databaseField="0">
      <fieldGroup base="0">
        <rangePr groupBy="months" startDate="2020-02-05T00:00:00" endDate="2020-05-01T00:00:00"/>
        <groupItems count="14">
          <s v="&lt;05.02.2020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01.05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d v="2020-01-31T00:00:00"/>
    <d v="2020-01-25T00:00:00"/>
    <s v="WB 1/2020"/>
    <x v="0"/>
    <x v="0"/>
    <s v="Wpłata kapitału zakładowego"/>
    <n v="5000"/>
    <m/>
    <n v="5000"/>
    <s v="B"/>
    <m/>
    <m/>
  </r>
  <r>
    <d v="2020-01-31T00:00:00"/>
    <d v="2020-01-25T00:00:00"/>
    <s v="WB 1/2020"/>
    <x v="1"/>
    <x v="1"/>
    <s v="Wpłata kapitału zakładowego"/>
    <m/>
    <n v="5000"/>
    <n v="-5000"/>
    <s v="B"/>
    <m/>
    <m/>
  </r>
  <r>
    <d v="2020-02-05T00:00:00"/>
    <d v="2020-02-05T00:00:00"/>
    <s v="FV 1/02/2020"/>
    <x v="2"/>
    <x v="2"/>
    <s v="Usługi księgowe za 01/2020"/>
    <m/>
    <n v="246"/>
    <n v="-246"/>
    <s v="B"/>
    <m/>
    <m/>
  </r>
  <r>
    <d v="2020-02-05T00:00:00"/>
    <d v="2020-02-05T00:00:00"/>
    <s v="FV 1/02/2020"/>
    <x v="3"/>
    <x v="3"/>
    <s v="Usługi księgowe za 01/2020"/>
    <n v="46"/>
    <m/>
    <n v="46"/>
    <s v="B"/>
    <m/>
    <m/>
  </r>
  <r>
    <d v="2020-02-05T00:00:00"/>
    <d v="2020-02-05T00:00:00"/>
    <s v="FV 1/02/2020"/>
    <x v="4"/>
    <x v="4"/>
    <s v="Usługi księgowe za 01/2020"/>
    <n v="200"/>
    <m/>
    <n v="200"/>
    <s v="W"/>
    <s v="KUP"/>
    <m/>
  </r>
  <r>
    <d v="2020-02-10T00:00:00"/>
    <d v="2020-02-10T00:00:00"/>
    <s v="WB 2/2020"/>
    <x v="2"/>
    <x v="2"/>
    <s v="Zapłata za fakturę FV 1/02/2020"/>
    <n v="246"/>
    <m/>
    <n v="246"/>
    <s v="B"/>
    <m/>
    <m/>
  </r>
  <r>
    <d v="2020-02-10T00:00:00"/>
    <d v="2020-02-10T00:00:00"/>
    <s v="WB 2/2020"/>
    <x v="0"/>
    <x v="0"/>
    <s v="Zapłata za fakturę FV 1/02/2020"/>
    <m/>
    <n v="246"/>
    <n v="-246"/>
    <s v="B"/>
    <m/>
    <m/>
  </r>
  <r>
    <d v="2020-02-28T00:00:00"/>
    <d v="2020-02-28T00:00:00"/>
    <s v="FV 124/2020"/>
    <x v="2"/>
    <x v="2"/>
    <s v="Czasopismo branżowe za IIQ 2020"/>
    <m/>
    <n v="600"/>
    <n v="-600"/>
    <s v="B"/>
    <m/>
    <m/>
  </r>
  <r>
    <d v="2020-02-28T00:00:00"/>
    <d v="2020-02-28T00:00:00"/>
    <s v="FV 124/2020"/>
    <x v="5"/>
    <x v="5"/>
    <s v="Czasopismo branżowe za IIQ 2020"/>
    <n v="600"/>
    <m/>
    <n v="600"/>
    <s v="B"/>
    <m/>
    <m/>
  </r>
  <r>
    <d v="2020-02-28T00:00:00"/>
    <d v="2020-02-28T00:00:00"/>
    <s v="PK 1/02/2020"/>
    <x v="3"/>
    <x v="3"/>
    <s v="VAT 02/2020"/>
    <m/>
    <n v="46"/>
    <n v="-46"/>
    <s v="B"/>
    <m/>
    <m/>
  </r>
  <r>
    <d v="2020-02-28T00:00:00"/>
    <d v="2020-02-28T00:00:00"/>
    <s v="PK 1/02/2020"/>
    <x v="6"/>
    <x v="6"/>
    <s v="VAT 02/2020"/>
    <n v="46"/>
    <m/>
    <n v="46"/>
    <s v="B"/>
    <m/>
    <m/>
  </r>
  <r>
    <d v="2020-03-01T00:00:00"/>
    <d v="2020-03-01T00:00:00"/>
    <s v="FV 4329345"/>
    <x v="2"/>
    <x v="2"/>
    <s v="Zakup laptopa "/>
    <m/>
    <n v="3690"/>
    <n v="-3690"/>
    <s v="B"/>
    <m/>
    <m/>
  </r>
  <r>
    <d v="2020-03-01T00:00:00"/>
    <d v="2020-03-01T00:00:00"/>
    <s v="FV 4329345"/>
    <x v="3"/>
    <x v="3"/>
    <s v="Zakup laptopa "/>
    <n v="690"/>
    <m/>
    <n v="690"/>
    <s v="B"/>
    <m/>
    <m/>
  </r>
  <r>
    <d v="2020-03-01T00:00:00"/>
    <d v="2020-03-01T00:00:00"/>
    <s v="FV 4329345"/>
    <x v="7"/>
    <x v="7"/>
    <s v="Zakup laptopa "/>
    <n v="3000"/>
    <m/>
    <n v="3000"/>
    <s v="B"/>
    <m/>
    <m/>
  </r>
  <r>
    <d v="2020-03-02T00:00:00"/>
    <d v="2020-03-02T00:00:00"/>
    <s v="OT 1/2020"/>
    <x v="7"/>
    <x v="7"/>
    <s v="Przyjęcie laptopa do używania"/>
    <m/>
    <n v="3000"/>
    <n v="-3000"/>
    <s v="B"/>
    <m/>
    <s v="Laptop może być amortyzowany jednorazowo lub liniowo"/>
  </r>
  <r>
    <d v="2020-03-02T00:00:00"/>
    <d v="2020-03-02T00:00:00"/>
    <s v="OT 1/2020"/>
    <x v="8"/>
    <x v="8"/>
    <s v="Przyjęcie laptopa do używania"/>
    <n v="3000"/>
    <m/>
    <n v="3000"/>
    <s v="B"/>
    <m/>
    <m/>
  </r>
  <r>
    <d v="2020-03-08T00:00:00"/>
    <d v="2020-03-08T00:00:00"/>
    <s v="WB 3/2020"/>
    <x v="2"/>
    <x v="2"/>
    <s v="Zapłata za fakturę FV 124/2020"/>
    <n v="600"/>
    <m/>
    <n v="600"/>
    <s v="B"/>
    <m/>
    <m/>
  </r>
  <r>
    <d v="2020-03-08T00:00:00"/>
    <d v="2020-03-08T00:00:00"/>
    <s v="WB 3/2020"/>
    <x v="0"/>
    <x v="0"/>
    <s v="Zapłata za fakturę FV 124/2020"/>
    <m/>
    <n v="600"/>
    <n v="-600"/>
    <s v="B"/>
    <m/>
    <m/>
  </r>
  <r>
    <d v="2020-03-15T00:00:00"/>
    <d v="2020-03-15T00:00:00"/>
    <s v="FV 5/03/2020"/>
    <x v="2"/>
    <x v="2"/>
    <s v="Zakupów towarów"/>
    <m/>
    <n v="7134"/>
    <n v="-7134"/>
    <s v="B"/>
    <m/>
    <m/>
  </r>
  <r>
    <d v="2020-03-15T00:00:00"/>
    <d v="2020-03-15T00:00:00"/>
    <s v="FV 5/03/2020"/>
    <x v="3"/>
    <x v="3"/>
    <s v="Zakupów towarów"/>
    <n v="1334"/>
    <m/>
    <n v="1334"/>
    <s v="B"/>
    <m/>
    <m/>
  </r>
  <r>
    <d v="2020-03-15T00:00:00"/>
    <d v="2020-03-15T00:00:00"/>
    <s v="FV 5/03/2020"/>
    <x v="7"/>
    <x v="7"/>
    <s v="Zakupów towarów"/>
    <n v="5800"/>
    <m/>
    <n v="5800"/>
    <s v="B"/>
    <m/>
    <m/>
  </r>
  <r>
    <d v="2020-03-15T00:00:00"/>
    <d v="2020-03-15T00:00:00"/>
    <s v="PZ 1/2020"/>
    <x v="9"/>
    <x v="9"/>
    <s v="Przyjęcie towarów na magazyn"/>
    <n v="5800"/>
    <m/>
    <n v="5800"/>
    <s v="B"/>
    <m/>
    <s v="100 szt. każdy po 58 zł"/>
  </r>
  <r>
    <d v="2020-03-15T00:00:00"/>
    <d v="2020-03-15T00:00:00"/>
    <s v="PZ 1/2020"/>
    <x v="7"/>
    <x v="7"/>
    <s v="Przyjęcie towarów na magazyn"/>
    <m/>
    <n v="5800"/>
    <n v="-5800"/>
    <s v="B"/>
    <m/>
    <s v="100 szt. każdy po 58 zł"/>
  </r>
  <r>
    <d v="2020-03-24T00:00:00"/>
    <d v="2020-03-24T00:00:00"/>
    <s v="FVS 1/03/2020"/>
    <x v="10"/>
    <x v="10"/>
    <s v="Faktura sprzedaży towarów"/>
    <n v="6420.6"/>
    <m/>
    <n v="6420.6"/>
    <s v="B"/>
    <m/>
    <s v="75 szt., marża 20%"/>
  </r>
  <r>
    <d v="2020-03-24T00:00:00"/>
    <d v="2020-03-24T00:00:00"/>
    <s v="FVS 1/03/2020"/>
    <x v="11"/>
    <x v="11"/>
    <s v="Faktura sprzedaży towarów"/>
    <m/>
    <n v="1200.6000000000001"/>
    <n v="-1200.6000000000001"/>
    <s v="B"/>
    <m/>
    <s v="75 szt., marża 20%"/>
  </r>
  <r>
    <d v="2020-03-24T00:00:00"/>
    <d v="2020-03-24T00:00:00"/>
    <s v="FVS 1/03/2020"/>
    <x v="12"/>
    <x v="12"/>
    <s v="Faktura sprzedaży towarów"/>
    <m/>
    <n v="5220"/>
    <n v="-5220"/>
    <s v="W"/>
    <m/>
    <s v="75 szt., marża 20%"/>
  </r>
  <r>
    <d v="2020-03-25T00:00:00"/>
    <d v="2020-03-25T00:00:00"/>
    <s v="WZ 1/2020"/>
    <x v="9"/>
    <x v="9"/>
    <s v="Wydanie towaru (75 szt.)"/>
    <m/>
    <n v="4350"/>
    <n v="-4350"/>
    <s v="B"/>
    <m/>
    <s v="75 szt. po 58 zł"/>
  </r>
  <r>
    <d v="2020-03-25T00:00:00"/>
    <d v="2020-03-25T00:00:00"/>
    <s v="WZ 1/2020"/>
    <x v="13"/>
    <x v="13"/>
    <s v="Wydanie towaru (75 szt.)"/>
    <n v="4350"/>
    <m/>
    <n v="4350"/>
    <s v="W"/>
    <s v="KUP"/>
    <s v="75 szt. po 58 zł"/>
  </r>
  <r>
    <d v="2020-03-31T00:00:00"/>
    <d v="2020-03-31T00:00:00"/>
    <s v="WB 3/2020"/>
    <x v="0"/>
    <x v="0"/>
    <s v="Zapłata za fakturę FV 4329345"/>
    <m/>
    <n v="3690"/>
    <n v="-3690"/>
    <s v="B"/>
    <m/>
    <m/>
  </r>
  <r>
    <d v="2020-03-31T00:00:00"/>
    <d v="2020-03-31T00:00:00"/>
    <s v="WB 3/2020"/>
    <x v="2"/>
    <x v="2"/>
    <s v="Zapłata za fakturę FV 4329345"/>
    <n v="3690"/>
    <m/>
    <n v="3690"/>
    <s v="B"/>
    <m/>
    <m/>
  </r>
  <r>
    <d v="2020-03-31T00:00:00"/>
    <d v="2020-03-05T00:00:00"/>
    <s v="FV 1/03/2020"/>
    <x v="2"/>
    <x v="2"/>
    <s v="Usługi księgowe za 02/2020"/>
    <m/>
    <n v="246"/>
    <n v="-246"/>
    <s v="B"/>
    <m/>
    <m/>
  </r>
  <r>
    <d v="2020-03-31T00:00:00"/>
    <d v="2020-03-05T00:00:00"/>
    <s v="FV 1/03/2020"/>
    <x v="3"/>
    <x v="3"/>
    <s v="Usługi księgowe za 02/2020"/>
    <n v="46"/>
    <m/>
    <n v="46"/>
    <s v="B"/>
    <m/>
    <m/>
  </r>
  <r>
    <d v="2020-03-31T00:00:00"/>
    <d v="2020-03-05T00:00:00"/>
    <s v="FV 1/03/2020"/>
    <x v="4"/>
    <x v="4"/>
    <s v="Usługi księgowe za 02/2020"/>
    <n v="200"/>
    <m/>
    <n v="200"/>
    <s v="W"/>
    <s v="KUP"/>
    <m/>
  </r>
  <r>
    <d v="2020-03-31T00:00:00"/>
    <d v="2020-03-31T00:00:00"/>
    <s v="PK 1/03/2020"/>
    <x v="3"/>
    <x v="3"/>
    <s v="VAT 03/2020"/>
    <m/>
    <n v="2070"/>
    <n v="-2070"/>
    <s v="B"/>
    <m/>
    <m/>
  </r>
  <r>
    <d v="2020-03-31T00:00:00"/>
    <d v="2020-03-31T00:00:00"/>
    <s v="PK 1/03/2020"/>
    <x v="11"/>
    <x v="11"/>
    <s v="VAT 03/2020"/>
    <n v="1200.5999999999999"/>
    <m/>
    <n v="1200.5999999999999"/>
    <s v="B"/>
    <m/>
    <m/>
  </r>
  <r>
    <d v="2020-03-31T00:00:00"/>
    <d v="2020-03-31T00:00:00"/>
    <s v="PK 1/03/2020"/>
    <x v="6"/>
    <x v="6"/>
    <s v="VAT 03/2020"/>
    <n v="869"/>
    <m/>
    <n v="869"/>
    <s v="B"/>
    <m/>
    <m/>
  </r>
  <r>
    <d v="2020-03-31T00:00:00"/>
    <d v="2020-03-31T00:00:00"/>
    <s v="PK 1/03/2020"/>
    <x v="14"/>
    <x v="14"/>
    <s v="VAT 03/2020"/>
    <n v="0.4"/>
    <m/>
    <n v="0.4"/>
    <s v="W"/>
    <s v="KUP"/>
    <m/>
  </r>
  <r>
    <d v="2020-03-31T00:00:00"/>
    <d v="2020-03-31T00:00:00"/>
    <s v="WB 3/2020"/>
    <x v="0"/>
    <x v="0"/>
    <s v="Opłaty bankowe 03/2020"/>
    <m/>
    <n v="50"/>
    <n v="-50"/>
    <s v="B"/>
    <m/>
    <m/>
  </r>
  <r>
    <d v="2020-03-31T00:00:00"/>
    <d v="2020-03-31T00:00:00"/>
    <s v="WB 3/2020"/>
    <x v="4"/>
    <x v="4"/>
    <s v="Opłaty bankowe 03/2020"/>
    <n v="50"/>
    <m/>
    <n v="50"/>
    <s v="W"/>
    <s v="KUP"/>
    <m/>
  </r>
  <r>
    <d v="2020-03-31T00:00:00"/>
    <d v="2020-03-31T00:00:00"/>
    <s v="PK 2/03/2020"/>
    <x v="15"/>
    <x v="15"/>
    <s v="CIT 03/2020"/>
    <m/>
    <n v="80"/>
    <n v="-80"/>
    <s v="B"/>
    <m/>
    <m/>
  </r>
  <r>
    <d v="2020-03-31T00:00:00"/>
    <d v="2020-03-31T00:00:00"/>
    <s v="PK 2/03/2020"/>
    <x v="16"/>
    <x v="16"/>
    <s v="CIT 03/2020"/>
    <n v="80"/>
    <m/>
    <n v="80"/>
    <s v="W"/>
    <m/>
    <m/>
  </r>
  <r>
    <d v="2020-04-10T00:00:00"/>
    <d v="2020-04-05T00:00:00"/>
    <s v="FV 1/04/2020"/>
    <x v="2"/>
    <x v="2"/>
    <s v="Usługi księgowe za 03/2020"/>
    <m/>
    <n v="369"/>
    <n v="-369"/>
    <s v="B"/>
    <m/>
    <m/>
  </r>
  <r>
    <d v="2020-04-10T00:00:00"/>
    <d v="2020-04-05T00:00:00"/>
    <s v="FV 1/04/2020"/>
    <x v="3"/>
    <x v="3"/>
    <s v="Usługi księgowe za 03/2020"/>
    <n v="69"/>
    <m/>
    <n v="69"/>
    <s v="B"/>
    <m/>
    <m/>
  </r>
  <r>
    <d v="2020-04-10T00:00:00"/>
    <d v="2020-04-05T00:00:00"/>
    <s v="FV 1/04/2020"/>
    <x v="4"/>
    <x v="4"/>
    <s v="Usługi księgowe za 03/2020"/>
    <n v="300"/>
    <m/>
    <n v="300"/>
    <s v="W"/>
    <s v="KUP"/>
    <m/>
  </r>
  <r>
    <d v="2020-04-13T00:00:00"/>
    <d v="2020-04-13T00:00:00"/>
    <s v="WB 4/2020"/>
    <x v="0"/>
    <x v="0"/>
    <s v="Zapłatę za FVS 1/03/2020"/>
    <n v="6420.6"/>
    <m/>
    <n v="6420.6"/>
    <s v="B"/>
    <m/>
    <m/>
  </r>
  <r>
    <d v="2020-04-13T00:00:00"/>
    <d v="2020-04-13T00:00:00"/>
    <s v="WB 4/2020"/>
    <x v="10"/>
    <x v="10"/>
    <s v="Zapłatę za FVS 1/03/2020"/>
    <m/>
    <n v="6420.6"/>
    <n v="-6420.6"/>
    <s v="B"/>
    <m/>
    <m/>
  </r>
  <r>
    <d v="2020-04-13T00:00:00"/>
    <d v="2020-04-13T00:00:00"/>
    <s v="WB 4/2020"/>
    <x v="0"/>
    <x v="0"/>
    <s v="Spłata częściowa FV 5/03/2020"/>
    <m/>
    <n v="3000"/>
    <n v="-3000"/>
    <s v="B"/>
    <m/>
    <m/>
  </r>
  <r>
    <d v="2020-04-13T00:00:00"/>
    <d v="2020-04-13T00:00:00"/>
    <s v="WB 4/2020"/>
    <x v="2"/>
    <x v="2"/>
    <s v="Spłata częściowa FV 5/03/2020"/>
    <n v="3000"/>
    <m/>
    <n v="3000"/>
    <s v="B"/>
    <m/>
    <m/>
  </r>
  <r>
    <d v="2020-04-30T00:00:00"/>
    <d v="2020-04-30T00:00:00"/>
    <s v="AM 1/04/2020"/>
    <x v="17"/>
    <x v="17"/>
    <s v="Amortyzacja 04/2020"/>
    <n v="75"/>
    <m/>
    <n v="75"/>
    <s v="W"/>
    <s v="KUP"/>
    <m/>
  </r>
  <r>
    <d v="2020-04-30T00:00:00"/>
    <d v="2020-04-30T00:00:00"/>
    <s v="AM 1/04/2020"/>
    <x v="18"/>
    <x v="18"/>
    <s v="Amortyzacja 04/2020"/>
    <m/>
    <n v="75"/>
    <n v="-75"/>
    <s v="B"/>
    <m/>
    <m/>
  </r>
  <r>
    <d v="2020-04-30T00:00:00"/>
    <d v="2020-04-30T00:00:00"/>
    <s v="RMK 1/04/2020"/>
    <x v="5"/>
    <x v="5"/>
    <s v="RMK 1/04/2020"/>
    <m/>
    <n v="200"/>
    <n v="-200"/>
    <s v="W"/>
    <m/>
    <m/>
  </r>
  <r>
    <d v="2020-04-30T00:00:00"/>
    <d v="2020-04-30T00:00:00"/>
    <s v="RMK 1/04/2020"/>
    <x v="19"/>
    <x v="19"/>
    <s v="RMK 1/04/2020"/>
    <n v="200"/>
    <m/>
    <n v="200"/>
    <s v="W"/>
    <s v="KUP"/>
    <m/>
  </r>
  <r>
    <d v="2020-04-30T00:00:00"/>
    <d v="2020-04-30T00:00:00"/>
    <s v="WB 4/2020"/>
    <x v="0"/>
    <x v="0"/>
    <s v="Opłaty bankowe 04/2020"/>
    <m/>
    <n v="50"/>
    <n v="-50"/>
    <s v="B"/>
    <m/>
    <m/>
  </r>
  <r>
    <d v="2020-04-30T00:00:00"/>
    <d v="2020-04-30T00:00:00"/>
    <s v="WB 4/2020"/>
    <x v="4"/>
    <x v="4"/>
    <s v="Opłaty bankowe 04/2020"/>
    <n v="50"/>
    <m/>
    <n v="50"/>
    <s v="W"/>
    <s v="KUP"/>
    <m/>
  </r>
  <r>
    <d v="2020-04-30T00:00:00"/>
    <d v="2020-04-30T00:00:00"/>
    <s v="WB 4/2020"/>
    <x v="0"/>
    <x v="0"/>
    <s v="Zapłata CIT 03/2020"/>
    <m/>
    <n v="80"/>
    <n v="-80"/>
    <s v="B"/>
    <m/>
    <s v="Zapłacono po terminie (termin był do 20 kwietnia 2020)"/>
  </r>
  <r>
    <d v="2020-04-30T00:00:00"/>
    <d v="2020-04-30T00:00:00"/>
    <s v="WB 4/2020"/>
    <x v="15"/>
    <x v="15"/>
    <s v="Zapłata CIT 03/2020"/>
    <n v="80"/>
    <m/>
    <n v="80"/>
    <s v="B"/>
    <m/>
    <s v="Zapłacono po terminie (termin był do 20 kwietnia 2020)"/>
  </r>
  <r>
    <d v="2020-04-30T00:00:00"/>
    <d v="2020-04-30T00:00:00"/>
    <s v="PK 1/04/2020"/>
    <x v="3"/>
    <x v="3"/>
    <s v="VAT 04/2020"/>
    <m/>
    <n v="69"/>
    <n v="-69"/>
    <s v="B"/>
    <m/>
    <m/>
  </r>
  <r>
    <d v="2020-04-30T00:00:00"/>
    <d v="2020-04-30T00:00:00"/>
    <s v="PK 1/04/2020"/>
    <x v="6"/>
    <x v="6"/>
    <s v="VAT 04/2020"/>
    <n v="69"/>
    <m/>
    <n v="69"/>
    <s v="B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d v="2020-02-05T00:00:00"/>
    <s v="FV 1/02/2020"/>
    <x v="0"/>
    <x v="0"/>
    <s v="Usługi księgowe za 01/2020"/>
    <n v="46"/>
    <m/>
    <n v="46"/>
    <s v="B"/>
  </r>
  <r>
    <x v="1"/>
    <d v="2020-02-28T00:00:00"/>
    <s v="PK 1/02/2020"/>
    <x v="0"/>
    <x v="0"/>
    <s v="VAT 02/2020"/>
    <m/>
    <n v="46"/>
    <n v="-46"/>
    <s v="B"/>
  </r>
  <r>
    <x v="1"/>
    <d v="2020-02-28T00:00:00"/>
    <s v="PK 1/02/2020"/>
    <x v="1"/>
    <x v="1"/>
    <s v="VAT 02/2020"/>
    <n v="46"/>
    <m/>
    <n v="46"/>
    <s v="B"/>
  </r>
  <r>
    <x v="2"/>
    <d v="2020-03-01T00:00:00"/>
    <s v="FV 4329345"/>
    <x v="0"/>
    <x v="0"/>
    <s v="Zakup laptopa "/>
    <n v="690"/>
    <m/>
    <n v="690"/>
    <s v="B"/>
  </r>
  <r>
    <x v="3"/>
    <d v="2020-03-15T00:00:00"/>
    <s v="FV 5/03/2020"/>
    <x v="0"/>
    <x v="0"/>
    <s v="Zakupów towarów"/>
    <n v="1334"/>
    <m/>
    <n v="1334"/>
    <s v="B"/>
  </r>
  <r>
    <x v="4"/>
    <d v="2020-03-24T00:00:00"/>
    <s v="FVS 1/03/2020"/>
    <x v="2"/>
    <x v="2"/>
    <s v="Faktura sprzedaży towarów"/>
    <m/>
    <n v="1200.6000000000001"/>
    <n v="-1200.6000000000001"/>
    <s v="B"/>
  </r>
  <r>
    <x v="5"/>
    <d v="2020-03-05T00:00:00"/>
    <s v="FV 1/03/2020"/>
    <x v="0"/>
    <x v="0"/>
    <s v="Usługi księgowe za 02/2020"/>
    <n v="46"/>
    <m/>
    <n v="46"/>
    <s v="B"/>
  </r>
  <r>
    <x v="5"/>
    <d v="2020-03-31T00:00:00"/>
    <s v="PK 1/03/2020"/>
    <x v="0"/>
    <x v="0"/>
    <s v="VAT 03/2020"/>
    <m/>
    <n v="2070"/>
    <n v="-2070"/>
    <s v="B"/>
  </r>
  <r>
    <x v="5"/>
    <d v="2020-03-31T00:00:00"/>
    <s v="PK 1/03/2020"/>
    <x v="2"/>
    <x v="2"/>
    <s v="VAT 03/2020"/>
    <n v="1200.5999999999999"/>
    <m/>
    <n v="1200.5999999999999"/>
    <s v="B"/>
  </r>
  <r>
    <x v="5"/>
    <d v="2020-03-31T00:00:00"/>
    <s v="PK 1/03/2020"/>
    <x v="1"/>
    <x v="1"/>
    <s v="VAT 03/2020"/>
    <n v="869"/>
    <m/>
    <n v="869"/>
    <s v="B"/>
  </r>
  <r>
    <x v="6"/>
    <d v="2020-04-05T00:00:00"/>
    <s v="FV 1/04/2020"/>
    <x v="0"/>
    <x v="0"/>
    <s v="Usługi księgowe za 03/2020"/>
    <n v="69"/>
    <m/>
    <n v="69"/>
    <s v="B"/>
  </r>
  <r>
    <x v="7"/>
    <d v="2020-04-30T00:00:00"/>
    <s v="PK 1/04/2020"/>
    <x v="0"/>
    <x v="0"/>
    <s v="VAT 04/2020"/>
    <m/>
    <n v="69"/>
    <n v="-69"/>
    <s v="B"/>
  </r>
  <r>
    <x v="7"/>
    <d v="2020-04-30T00:00:00"/>
    <s v="PK 1/04/2020"/>
    <x v="1"/>
    <x v="1"/>
    <s v="VAT 04/2020"/>
    <n v="69"/>
    <m/>
    <n v="69"/>
    <s v="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C5DBCC-8A46-43F8-A68F-A29E6B95DB5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4" firstHeaderRow="1" firstDataRow="1" firstDataCol="2"/>
  <pivotFields count="12">
    <pivotField showAll="0" defaultSubtotal="0"/>
    <pivotField showAll="0" defaultSubtotal="0"/>
    <pivotField showAll="0" defaultSubtotal="0"/>
    <pivotField axis="axisRow" outline="0" showAll="0" sortType="ascending" defaultSubtotal="0">
      <items count="20">
        <item x="8"/>
        <item x="18"/>
        <item x="0"/>
        <item x="10"/>
        <item x="2"/>
        <item x="11"/>
        <item x="3"/>
        <item x="6"/>
        <item x="15"/>
        <item x="7"/>
        <item x="9"/>
        <item x="17"/>
        <item x="4"/>
        <item x="19"/>
        <item x="5"/>
        <item x="12"/>
        <item x="13"/>
        <item x="14"/>
        <item x="1"/>
        <item x="16"/>
      </items>
    </pivotField>
    <pivotField axis="axisRow" showAll="0" sortType="ascending" defaultSubtotal="0">
      <items count="20">
        <item x="17"/>
        <item x="15"/>
        <item x="1"/>
        <item x="18"/>
        <item x="16"/>
        <item x="14"/>
        <item x="19"/>
        <item x="0"/>
        <item x="5"/>
        <item x="7"/>
        <item x="2"/>
        <item x="10"/>
        <item x="6"/>
        <item x="12"/>
        <item x="8"/>
        <item x="9"/>
        <item x="4"/>
        <item x="11"/>
        <item x="3"/>
        <item x="13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ubtotalTop="0" showAll="0" defaultSubtotal="0"/>
  </pivotFields>
  <rowFields count="2">
    <field x="3"/>
    <field x="4"/>
  </rowFields>
  <rowItems count="21">
    <i>
      <x/>
      <x v="14"/>
    </i>
    <i>
      <x v="1"/>
      <x v="3"/>
    </i>
    <i>
      <x v="2"/>
      <x v="7"/>
    </i>
    <i>
      <x v="3"/>
      <x v="11"/>
    </i>
    <i>
      <x v="4"/>
      <x v="10"/>
    </i>
    <i>
      <x v="5"/>
      <x v="17"/>
    </i>
    <i>
      <x v="6"/>
      <x v="18"/>
    </i>
    <i>
      <x v="7"/>
      <x v="12"/>
    </i>
    <i>
      <x v="8"/>
      <x v="1"/>
    </i>
    <i>
      <x v="9"/>
      <x v="9"/>
    </i>
    <i>
      <x v="10"/>
      <x v="15"/>
    </i>
    <i>
      <x v="11"/>
      <x/>
    </i>
    <i>
      <x v="12"/>
      <x v="16"/>
    </i>
    <i>
      <x v="13"/>
      <x v="6"/>
    </i>
    <i>
      <x v="14"/>
      <x v="8"/>
    </i>
    <i>
      <x v="15"/>
      <x v="13"/>
    </i>
    <i>
      <x v="16"/>
      <x v="19"/>
    </i>
    <i>
      <x v="17"/>
      <x v="5"/>
    </i>
    <i>
      <x v="18"/>
      <x v="2"/>
    </i>
    <i>
      <x v="19"/>
      <x v="4"/>
    </i>
    <i t="grand">
      <x/>
    </i>
  </rowItems>
  <colItems count="1">
    <i/>
  </colItems>
  <dataFields count="1">
    <dataField name="Sum of Saldo" fld="8" baseField="0" baseItem="0" numFmtId="4"/>
  </dataFields>
  <formats count="2">
    <format dxfId="6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2FD897-CA24-44A1-A44F-7D8D463DC4B7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7:F22" firstHeaderRow="1" firstDataRow="2" firstDataCol="2"/>
  <pivotFields count="11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4" showAll="0"/>
    <pivotField showAll="0"/>
    <pivotField axis="axisRow" outline="0" showAll="0" defaultSubtotal="0">
      <items count="3">
        <item x="2"/>
        <item x="0"/>
        <item x="1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dataField="1" numFmtId="164" showAll="0"/>
    <pivotField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3"/>
    <field x="4"/>
  </rowFields>
  <rowItems count="4">
    <i>
      <x/>
      <x v="1"/>
    </i>
    <i>
      <x v="1"/>
      <x v="2"/>
    </i>
    <i>
      <x v="2"/>
      <x/>
    </i>
    <i t="grand">
      <x/>
    </i>
  </rowItems>
  <colFields count="1">
    <field x="10"/>
  </colFields>
  <colItems count="4">
    <i>
      <x v="2"/>
    </i>
    <i>
      <x v="3"/>
    </i>
    <i>
      <x v="4"/>
    </i>
    <i t="grand">
      <x/>
    </i>
  </colItems>
  <dataFields count="1">
    <dataField name="Sum of Saldo" fld="8" baseField="0" baseItem="0" numFmtId="4"/>
  </dataFields>
  <formats count="5">
    <format dxfId="4">
      <pivotArea outline="0" collapsedLevelsAreSubtotals="1" fieldPosition="0"/>
    </format>
    <format dxfId="3">
      <pivotArea dataOnly="0" labelOnly="1" fieldPosition="0">
        <references count="1">
          <reference field="10" count="1">
            <x v="2"/>
          </reference>
        </references>
      </pivotArea>
    </format>
    <format dxfId="2">
      <pivotArea dataOnly="0" labelOnly="1" fieldPosition="0">
        <references count="1">
          <reference field="10" count="1">
            <x v="3"/>
          </reference>
        </references>
      </pivotArea>
    </format>
    <format dxfId="1">
      <pivotArea dataOnly="0" labelOnly="1" fieldPosition="0">
        <references count="1">
          <reference field="10" count="1">
            <x v="4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ED2E-4ED1-40C5-A1F4-4CC31C3023B4}">
  <dimension ref="A1:H35"/>
  <sheetViews>
    <sheetView showGridLines="0" workbookViewId="0">
      <selection activeCell="C1" sqref="C1"/>
    </sheetView>
  </sheetViews>
  <sheetFormatPr defaultRowHeight="14.5" x14ac:dyDescent="0.35"/>
  <cols>
    <col min="1" max="1" width="12.36328125" bestFit="1" customWidth="1"/>
    <col min="2" max="2" width="50.1796875" style="86" bestFit="1" customWidth="1"/>
    <col min="3" max="3" width="11.6328125" bestFit="1" customWidth="1"/>
    <col min="4" max="4" width="8.36328125" bestFit="1" customWidth="1"/>
    <col min="5" max="5" width="13.90625" bestFit="1" customWidth="1"/>
    <col min="6" max="6" width="12.36328125" customWidth="1"/>
    <col min="7" max="7" width="15.7265625" customWidth="1"/>
    <col min="8" max="9" width="10.7265625" bestFit="1" customWidth="1"/>
    <col min="10" max="10" width="7.81640625" bestFit="1" customWidth="1"/>
    <col min="11" max="12" width="8.36328125" bestFit="1" customWidth="1"/>
    <col min="13" max="13" width="6.90625" bestFit="1" customWidth="1"/>
    <col min="14" max="17" width="8.36328125" bestFit="1" customWidth="1"/>
    <col min="18" max="18" width="8.90625" bestFit="1" customWidth="1"/>
    <col min="19" max="19" width="6.26953125" bestFit="1" customWidth="1"/>
    <col min="20" max="20" width="8.453125" bestFit="1" customWidth="1"/>
    <col min="21" max="21" width="10.7265625" bestFit="1" customWidth="1"/>
  </cols>
  <sheetData>
    <row r="1" spans="1:8" ht="21" x14ac:dyDescent="0.5">
      <c r="B1" s="111" t="s">
        <v>273</v>
      </c>
    </row>
    <row r="3" spans="1:8" x14ac:dyDescent="0.35">
      <c r="A3" s="83" t="s">
        <v>196</v>
      </c>
      <c r="B3" s="83" t="s">
        <v>122</v>
      </c>
      <c r="C3" s="86" t="s">
        <v>198</v>
      </c>
      <c r="E3" s="98" t="s">
        <v>240</v>
      </c>
      <c r="F3" s="98" t="s">
        <v>241</v>
      </c>
      <c r="G3" s="98" t="s">
        <v>127</v>
      </c>
      <c r="H3" s="4"/>
    </row>
    <row r="4" spans="1:8" x14ac:dyDescent="0.35">
      <c r="A4" s="84" t="s">
        <v>0</v>
      </c>
      <c r="B4" s="84" t="s">
        <v>1</v>
      </c>
      <c r="C4" s="86">
        <v>3000</v>
      </c>
      <c r="E4" s="46">
        <f>ŚT!M12</f>
        <v>3000</v>
      </c>
      <c r="F4" s="46">
        <f>E4-GETPIVOTDATA("Saldo",$A$3,"Konto księgowe","010","Opis konta księgowego","Środki trwałe")</f>
        <v>0</v>
      </c>
      <c r="G4" t="s">
        <v>259</v>
      </c>
    </row>
    <row r="5" spans="1:8" x14ac:dyDescent="0.35">
      <c r="A5" s="84" t="s">
        <v>8</v>
      </c>
      <c r="B5" s="84" t="s">
        <v>218</v>
      </c>
      <c r="C5" s="86">
        <v>-75</v>
      </c>
      <c r="E5" s="99">
        <f>-ŚT!M13</f>
        <v>-75</v>
      </c>
      <c r="F5" s="46">
        <f>E5-GETPIVOTDATA("Saldo",$A$3,"Konto księgowe","070","Opis konta księgowego","Odpisy umorzeniowe ŚT, WNIP")</f>
        <v>0</v>
      </c>
      <c r="G5" t="s">
        <v>259</v>
      </c>
    </row>
    <row r="6" spans="1:8" x14ac:dyDescent="0.35">
      <c r="A6" s="84" t="s">
        <v>15</v>
      </c>
      <c r="B6" s="84" t="s">
        <v>16</v>
      </c>
      <c r="C6" s="86">
        <v>3704.6000000000004</v>
      </c>
      <c r="E6" s="99">
        <f>Bank!I12</f>
        <v>3704.6000000000004</v>
      </c>
      <c r="F6" s="46">
        <f>E6-GETPIVOTDATA("Saldo",$A$3,"Konto księgowe","130","Opis konta księgowego","Rachunek bankowy")</f>
        <v>0</v>
      </c>
      <c r="G6" t="s">
        <v>260</v>
      </c>
    </row>
    <row r="7" spans="1:8" x14ac:dyDescent="0.35">
      <c r="A7" s="84" t="s">
        <v>21</v>
      </c>
      <c r="B7" s="84" t="s">
        <v>22</v>
      </c>
      <c r="C7" s="86">
        <v>0</v>
      </c>
      <c r="E7" s="99">
        <f>Należności!I5</f>
        <v>0</v>
      </c>
      <c r="F7" s="46">
        <f>E7-GETPIVOTDATA("Saldo",$A$3,"Konto księgowe","200","Opis konta księgowego","Rozrachunki z odbiorcami")</f>
        <v>0</v>
      </c>
      <c r="G7" t="s">
        <v>261</v>
      </c>
    </row>
    <row r="8" spans="1:8" x14ac:dyDescent="0.35">
      <c r="A8" s="84" t="s">
        <v>23</v>
      </c>
      <c r="B8" s="84" t="s">
        <v>24</v>
      </c>
      <c r="C8" s="86">
        <v>-4749</v>
      </c>
      <c r="E8" s="99">
        <f>Zobowiązania!I13</f>
        <v>-4749</v>
      </c>
      <c r="F8" s="46">
        <f>E8-GETPIVOTDATA("Saldo",$A$3,"Konto księgowe","210","Opis konta księgowego","Rozrachunki z dostawcami")</f>
        <v>0</v>
      </c>
      <c r="G8" t="s">
        <v>261</v>
      </c>
    </row>
    <row r="9" spans="1:8" x14ac:dyDescent="0.35">
      <c r="A9" s="84" t="s">
        <v>25</v>
      </c>
      <c r="B9" s="84" t="s">
        <v>26</v>
      </c>
      <c r="C9" s="86">
        <v>-2.2737367544323206E-13</v>
      </c>
      <c r="E9" s="99">
        <f>GETPIVOTDATA("Saldo",VAT!$A$17,"Konto księgowe","221","Opis konta księgowego","VAT należny")</f>
        <v>-2.2737367544323206E-13</v>
      </c>
      <c r="F9" s="46">
        <f>E9-GETPIVOTDATA("Saldo",$A$3,"Konto księgowe","221","Opis konta księgowego","VAT należny")</f>
        <v>0</v>
      </c>
      <c r="G9" t="s">
        <v>262</v>
      </c>
    </row>
    <row r="10" spans="1:8" x14ac:dyDescent="0.35">
      <c r="A10" s="84" t="s">
        <v>27</v>
      </c>
      <c r="B10" s="84" t="s">
        <v>28</v>
      </c>
      <c r="C10" s="86">
        <v>0</v>
      </c>
      <c r="E10" s="99">
        <f>GETPIVOTDATA("Saldo",VAT!$A$17,"Konto księgowe","222","Opis konta księgowego","VAT naliczony")</f>
        <v>0</v>
      </c>
      <c r="F10" s="46">
        <f>E10-GETPIVOTDATA("Saldo",$A$3,"Konto księgowe","222","Opis konta księgowego","VAT naliczony")</f>
        <v>0</v>
      </c>
      <c r="G10" t="s">
        <v>262</v>
      </c>
    </row>
    <row r="11" spans="1:8" x14ac:dyDescent="0.35">
      <c r="A11" s="84" t="s">
        <v>29</v>
      </c>
      <c r="B11" s="84" t="s">
        <v>30</v>
      </c>
      <c r="C11" s="86">
        <v>984</v>
      </c>
      <c r="E11" s="99">
        <f>GETPIVOTDATA("Saldo",VAT!$A$17,"Konto księgowe","223 ","Opis konta księgowego","Rozrachunki z urzędem skarbowym z tytułu VAT")</f>
        <v>984</v>
      </c>
      <c r="F11" s="46">
        <f>E11-GETPIVOTDATA("Saldo",$A$3,"Konto księgowe","223 ","Opis konta księgowego","Rozrachunki z urzędem skarbowym z tytułu VAT")</f>
        <v>0</v>
      </c>
      <c r="G11" t="s">
        <v>262</v>
      </c>
    </row>
    <row r="12" spans="1:8" x14ac:dyDescent="0.35">
      <c r="A12" s="84" t="s">
        <v>35</v>
      </c>
      <c r="B12" s="84" t="s">
        <v>33</v>
      </c>
      <c r="C12" s="86">
        <v>0</v>
      </c>
      <c r="E12" s="99">
        <f>'CIT 03.2020'!I21</f>
        <v>0</v>
      </c>
      <c r="F12" s="46">
        <f>E12-GETPIVOTDATA("Saldo",$A$3,"Konto księgowe","226","Opis konta księgowego","CIT")</f>
        <v>0</v>
      </c>
      <c r="G12" t="s">
        <v>263</v>
      </c>
    </row>
    <row r="13" spans="1:8" x14ac:dyDescent="0.35">
      <c r="A13" s="84" t="s">
        <v>45</v>
      </c>
      <c r="B13" s="84" t="s">
        <v>46</v>
      </c>
      <c r="C13" s="86">
        <v>0</v>
      </c>
      <c r="E13" s="99">
        <v>0</v>
      </c>
      <c r="F13" s="46">
        <f t="shared" ref="F13" si="0">E13-GETPIVOTDATA("Saldo",$A$3,"Konto księgowe","226","Opis konta księgowego","CIT")</f>
        <v>0</v>
      </c>
    </row>
    <row r="14" spans="1:8" x14ac:dyDescent="0.35">
      <c r="A14" s="84" t="s">
        <v>49</v>
      </c>
      <c r="B14" s="84" t="s">
        <v>50</v>
      </c>
      <c r="C14" s="86">
        <v>1450</v>
      </c>
      <c r="E14" s="99">
        <f>Magazyn!H9</f>
        <v>1450</v>
      </c>
      <c r="F14" s="46">
        <f>E14-GETPIVOTDATA("Saldo",$A$3,"Konto księgowe","330","Opis konta księgowego","Towary")</f>
        <v>0</v>
      </c>
      <c r="G14" t="s">
        <v>264</v>
      </c>
    </row>
    <row r="15" spans="1:8" x14ac:dyDescent="0.35">
      <c r="A15" s="84" t="s">
        <v>55</v>
      </c>
      <c r="B15" s="84" t="s">
        <v>56</v>
      </c>
      <c r="C15" s="86">
        <v>75</v>
      </c>
      <c r="E15" s="99">
        <f>ŚT!M13</f>
        <v>75</v>
      </c>
      <c r="F15" s="46">
        <f>E15-GETPIVOTDATA("Saldo",$A$3,"Konto księgowe","400","Opis konta księgowego","Amortyzacja")</f>
        <v>0</v>
      </c>
      <c r="G15" t="s">
        <v>259</v>
      </c>
    </row>
    <row r="16" spans="1:8" x14ac:dyDescent="0.35">
      <c r="A16" s="84" t="s">
        <v>59</v>
      </c>
      <c r="B16" s="84" t="s">
        <v>63</v>
      </c>
      <c r="C16" s="86">
        <v>800</v>
      </c>
      <c r="E16" s="99">
        <f>'Pozostałe koszty wynikowe'!G10+'Pozostałe koszty wynikowe'!G11</f>
        <v>800</v>
      </c>
      <c r="F16" s="46">
        <f>E16-GETPIVOTDATA("Saldo",$A$3,"Konto księgowe","402","Opis konta księgowego","Usługi obce")</f>
        <v>0</v>
      </c>
      <c r="G16" t="s">
        <v>267</v>
      </c>
    </row>
    <row r="17" spans="1:7" x14ac:dyDescent="0.35">
      <c r="A17" s="84" t="s">
        <v>67</v>
      </c>
      <c r="B17" s="84" t="s">
        <v>68</v>
      </c>
      <c r="C17" s="86">
        <v>200</v>
      </c>
      <c r="E17" s="99">
        <f>RMK!L12</f>
        <v>200</v>
      </c>
      <c r="F17" s="46">
        <f>E17-GETPIVOTDATA("Saldo",$A$3,"Konto księgowe","409","Opis konta księgowego","Pozostałe koszty rodzajowe")</f>
        <v>0</v>
      </c>
      <c r="G17" t="s">
        <v>265</v>
      </c>
    </row>
    <row r="18" spans="1:7" x14ac:dyDescent="0.35">
      <c r="A18" s="84" t="s">
        <v>84</v>
      </c>
      <c r="B18" s="84" t="s">
        <v>139</v>
      </c>
      <c r="C18" s="86">
        <v>400</v>
      </c>
      <c r="E18" s="99">
        <f>RMK!L14</f>
        <v>400</v>
      </c>
      <c r="F18" s="46">
        <f>E18-GETPIVOTDATA("Saldo",$A$3,"Konto księgowe","640","Opis konta księgowego","Rozliczenia międzyokresowe czynne")</f>
        <v>0</v>
      </c>
      <c r="G18" t="s">
        <v>265</v>
      </c>
    </row>
    <row r="19" spans="1:7" x14ac:dyDescent="0.35">
      <c r="A19" s="84" t="s">
        <v>91</v>
      </c>
      <c r="B19" s="84" t="s">
        <v>94</v>
      </c>
      <c r="C19" s="86">
        <v>-5220</v>
      </c>
      <c r="E19" s="99">
        <f>-Magazyn!F9</f>
        <v>-5220</v>
      </c>
      <c r="F19" s="46">
        <f>E19-GETPIVOTDATA("Saldo",$A$3,"Konto księgowe","730","Opis konta księgowego","Sprzedaż towarów")</f>
        <v>0</v>
      </c>
      <c r="G19" t="s">
        <v>264</v>
      </c>
    </row>
    <row r="20" spans="1:7" x14ac:dyDescent="0.35">
      <c r="A20" s="84" t="s">
        <v>92</v>
      </c>
      <c r="B20" s="84" t="s">
        <v>95</v>
      </c>
      <c r="C20" s="86">
        <v>4350</v>
      </c>
      <c r="E20" s="99">
        <f>Magazyn!G9</f>
        <v>4350</v>
      </c>
      <c r="F20" s="46">
        <f>E20-GETPIVOTDATA("Saldo",$A$3,"Konto księgowe","731","Opis konta księgowego","Wartość sprzedanych towarów w cenach zakupu (nabycia)")</f>
        <v>0</v>
      </c>
      <c r="G20" t="s">
        <v>264</v>
      </c>
    </row>
    <row r="21" spans="1:7" x14ac:dyDescent="0.35">
      <c r="A21" s="84" t="s">
        <v>99</v>
      </c>
      <c r="B21" s="84" t="s">
        <v>100</v>
      </c>
      <c r="C21" s="86">
        <v>0.4</v>
      </c>
      <c r="E21" s="99">
        <f>'Pozostałe koszty wynikowe'!G12</f>
        <v>0.4</v>
      </c>
      <c r="F21" s="46">
        <f>E21-GETPIVOTDATA("Saldo",$A$3,"Konto księgowe","761","Opis konta księgowego","Pozostałe koszty operacyjne")</f>
        <v>0</v>
      </c>
      <c r="G21" t="s">
        <v>267</v>
      </c>
    </row>
    <row r="22" spans="1:7" x14ac:dyDescent="0.35">
      <c r="A22" s="84" t="s">
        <v>104</v>
      </c>
      <c r="B22" s="84" t="s">
        <v>105</v>
      </c>
      <c r="C22" s="86">
        <v>-5000</v>
      </c>
      <c r="E22" s="99">
        <v>-5000</v>
      </c>
      <c r="F22" s="46">
        <f>E22-GETPIVOTDATA("Saldo",$A$3,"Konto księgowe","800","Opis konta księgowego","Kapitał zakładowy")</f>
        <v>0</v>
      </c>
      <c r="G22" t="s">
        <v>266</v>
      </c>
    </row>
    <row r="23" spans="1:7" x14ac:dyDescent="0.35">
      <c r="A23" s="84" t="s">
        <v>216</v>
      </c>
      <c r="B23" s="84" t="s">
        <v>217</v>
      </c>
      <c r="C23" s="86">
        <v>80</v>
      </c>
      <c r="E23" s="99">
        <f>-'CIT 03.2020'!I18</f>
        <v>80</v>
      </c>
      <c r="F23" s="46">
        <f>E23-GETPIVOTDATA("Saldo",$A$3,"Konto księgowe","870","Opis konta księgowego","Podatek dochodowy")</f>
        <v>0</v>
      </c>
      <c r="G23" t="s">
        <v>263</v>
      </c>
    </row>
    <row r="24" spans="1:7" x14ac:dyDescent="0.35">
      <c r="A24" s="84" t="s">
        <v>197</v>
      </c>
      <c r="B24"/>
      <c r="C24" s="86">
        <v>0</v>
      </c>
    </row>
    <row r="25" spans="1:7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EA48-D9E1-4CCC-85EF-1170C8C6B5FA}">
  <dimension ref="A1:L9"/>
  <sheetViews>
    <sheetView showGridLines="0" workbookViewId="0">
      <selection activeCell="H9" sqref="H9"/>
    </sheetView>
  </sheetViews>
  <sheetFormatPr defaultRowHeight="14.5" x14ac:dyDescent="0.35"/>
  <cols>
    <col min="1" max="1" width="12.6328125" customWidth="1"/>
    <col min="2" max="2" width="10.6328125" bestFit="1" customWidth="1"/>
    <col min="3" max="4" width="12.36328125" customWidth="1"/>
    <col min="5" max="5" width="10.54296875" bestFit="1" customWidth="1"/>
    <col min="6" max="6" width="26.6328125" bestFit="1" customWidth="1"/>
    <col min="7" max="9" width="10.7265625" bestFit="1" customWidth="1"/>
    <col min="10" max="10" width="6.90625" bestFit="1" customWidth="1"/>
    <col min="11" max="11" width="11.08984375" bestFit="1" customWidth="1"/>
    <col min="12" max="12" width="19.26953125" bestFit="1" customWidth="1"/>
  </cols>
  <sheetData>
    <row r="1" spans="1:12" s="9" customFormat="1" ht="29" x14ac:dyDescent="0.35">
      <c r="A1" s="96" t="s">
        <v>118</v>
      </c>
      <c r="B1" s="96" t="s">
        <v>119</v>
      </c>
      <c r="C1" s="96" t="s">
        <v>120</v>
      </c>
      <c r="D1" s="96" t="s">
        <v>121</v>
      </c>
      <c r="E1" s="96" t="s">
        <v>122</v>
      </c>
      <c r="F1" s="96" t="s">
        <v>123</v>
      </c>
      <c r="G1" s="97" t="s">
        <v>124</v>
      </c>
      <c r="H1" s="97" t="s">
        <v>125</v>
      </c>
      <c r="I1" s="97" t="s">
        <v>126</v>
      </c>
      <c r="J1" s="97" t="s">
        <v>131</v>
      </c>
      <c r="K1" s="96" t="s">
        <v>130</v>
      </c>
      <c r="L1" s="96" t="s">
        <v>127</v>
      </c>
    </row>
    <row r="2" spans="1:12" x14ac:dyDescent="0.35">
      <c r="A2" s="2">
        <v>43905</v>
      </c>
      <c r="B2" s="2">
        <v>43905</v>
      </c>
      <c r="C2" t="s">
        <v>184</v>
      </c>
      <c r="D2" t="s">
        <v>49</v>
      </c>
      <c r="E2" t="s">
        <v>50</v>
      </c>
      <c r="F2" t="s">
        <v>185</v>
      </c>
      <c r="G2" s="3">
        <v>5800</v>
      </c>
      <c r="H2" s="3"/>
      <c r="I2" s="3">
        <v>5800</v>
      </c>
      <c r="J2" s="5" t="s">
        <v>132</v>
      </c>
      <c r="L2" t="s">
        <v>192</v>
      </c>
    </row>
    <row r="3" spans="1:12" x14ac:dyDescent="0.35">
      <c r="A3" s="2">
        <v>43915</v>
      </c>
      <c r="B3" s="2">
        <v>43915</v>
      </c>
      <c r="C3" t="s">
        <v>189</v>
      </c>
      <c r="D3" t="s">
        <v>49</v>
      </c>
      <c r="E3" t="s">
        <v>50</v>
      </c>
      <c r="F3" t="s">
        <v>190</v>
      </c>
      <c r="G3" s="3"/>
      <c r="H3" s="3">
        <v>4350</v>
      </c>
      <c r="I3" s="3">
        <v>-4350</v>
      </c>
      <c r="J3" s="5" t="s">
        <v>132</v>
      </c>
      <c r="L3" t="s">
        <v>191</v>
      </c>
    </row>
    <row r="7" spans="1:12" s="8" customFormat="1" ht="43.5" x14ac:dyDescent="0.35">
      <c r="A7" s="9" t="s">
        <v>257</v>
      </c>
      <c r="B7" s="9" t="s">
        <v>253</v>
      </c>
      <c r="C7" s="9" t="s">
        <v>252</v>
      </c>
      <c r="D7" s="9" t="s">
        <v>254</v>
      </c>
      <c r="E7" s="9" t="s">
        <v>271</v>
      </c>
      <c r="F7" s="9" t="s">
        <v>272</v>
      </c>
      <c r="G7" s="9" t="s">
        <v>258</v>
      </c>
      <c r="H7" s="9" t="s">
        <v>256</v>
      </c>
    </row>
    <row r="8" spans="1:12" x14ac:dyDescent="0.35">
      <c r="A8" t="str">
        <f>C2</f>
        <v>PZ 1/2020</v>
      </c>
      <c r="B8" s="2">
        <f>B2</f>
        <v>43905</v>
      </c>
      <c r="C8">
        <v>100</v>
      </c>
      <c r="D8" s="99">
        <v>58</v>
      </c>
      <c r="E8" s="99"/>
      <c r="F8" s="99"/>
      <c r="G8" s="99">
        <f>C8*D8</f>
        <v>5800</v>
      </c>
      <c r="H8" s="99">
        <f>G8</f>
        <v>5800</v>
      </c>
    </row>
    <row r="9" spans="1:12" x14ac:dyDescent="0.35">
      <c r="A9" t="str">
        <f>C3</f>
        <v>WZ 1/2020</v>
      </c>
      <c r="B9" s="2">
        <f>A3</f>
        <v>43915</v>
      </c>
      <c r="C9">
        <v>75</v>
      </c>
      <c r="D9" s="99">
        <v>58</v>
      </c>
      <c r="E9" s="99">
        <f>D9*120%</f>
        <v>69.599999999999994</v>
      </c>
      <c r="F9" s="99">
        <f>C9*E9</f>
        <v>5220</v>
      </c>
      <c r="G9" s="99">
        <f>C9*D9</f>
        <v>4350</v>
      </c>
      <c r="H9" s="99">
        <f>G8-G9</f>
        <v>1450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C0C0-BA69-4663-AD8A-28A166E09D02}">
  <sheetPr>
    <pageSetUpPr fitToPage="1"/>
  </sheetPr>
  <dimension ref="A2:N14"/>
  <sheetViews>
    <sheetView showGridLines="0" workbookViewId="0">
      <selection activeCell="A2" sqref="A2:I2"/>
    </sheetView>
  </sheetViews>
  <sheetFormatPr defaultRowHeight="14.5" x14ac:dyDescent="0.35"/>
  <cols>
    <col min="1" max="1" width="9.81640625" customWidth="1"/>
    <col min="2" max="2" width="21.36328125" customWidth="1"/>
    <col min="3" max="3" width="14.7265625" customWidth="1"/>
    <col min="4" max="4" width="12.26953125" customWidth="1"/>
    <col min="5" max="5" width="10.81640625" bestFit="1" customWidth="1"/>
    <col min="6" max="6" width="11.6328125" bestFit="1" customWidth="1"/>
    <col min="7" max="7" width="13.54296875" bestFit="1" customWidth="1"/>
    <col min="8" max="8" width="15.1796875" customWidth="1"/>
    <col min="9" max="9" width="15.08984375" bestFit="1" customWidth="1"/>
    <col min="10" max="10" width="22.7265625" bestFit="1" customWidth="1"/>
    <col min="11" max="11" width="13.26953125" bestFit="1" customWidth="1"/>
    <col min="12" max="12" width="13.26953125" customWidth="1"/>
    <col min="13" max="13" width="10.90625" bestFit="1" customWidth="1"/>
    <col min="14" max="14" width="10.7265625" bestFit="1" customWidth="1"/>
  </cols>
  <sheetData>
    <row r="2" spans="1:14" ht="21" x14ac:dyDescent="0.5">
      <c r="A2" s="112" t="s">
        <v>140</v>
      </c>
      <c r="B2" s="112"/>
      <c r="C2" s="112"/>
      <c r="D2" s="112"/>
      <c r="E2" s="112"/>
      <c r="F2" s="112"/>
      <c r="G2" s="112"/>
      <c r="H2" s="112"/>
      <c r="I2" s="112"/>
      <c r="J2" s="11"/>
      <c r="K2" s="12"/>
      <c r="L2" s="12"/>
    </row>
    <row r="4" spans="1:14" ht="15" thickBot="1" x14ac:dyDescent="0.4"/>
    <row r="5" spans="1:14" s="9" customFormat="1" ht="29" x14ac:dyDescent="0.35">
      <c r="A5" s="13" t="s">
        <v>141</v>
      </c>
      <c r="B5" s="13" t="s">
        <v>142</v>
      </c>
      <c r="C5" s="13" t="s">
        <v>143</v>
      </c>
      <c r="D5" s="13" t="s">
        <v>120</v>
      </c>
      <c r="E5" s="13" t="s">
        <v>119</v>
      </c>
      <c r="F5" s="13" t="s">
        <v>144</v>
      </c>
      <c r="G5" s="13" t="s">
        <v>145</v>
      </c>
      <c r="H5" s="13" t="s">
        <v>146</v>
      </c>
      <c r="I5" s="13" t="s">
        <v>147</v>
      </c>
      <c r="J5" s="13" t="s">
        <v>148</v>
      </c>
      <c r="K5" s="14">
        <v>2020</v>
      </c>
      <c r="L5" s="15">
        <v>43951</v>
      </c>
      <c r="M5" s="16">
        <v>43982</v>
      </c>
      <c r="N5" s="17">
        <v>44012</v>
      </c>
    </row>
    <row r="6" spans="1:14" s="7" customFormat="1" ht="29" x14ac:dyDescent="0.35">
      <c r="A6" s="18" t="s">
        <v>149</v>
      </c>
      <c r="B6" s="19" t="str">
        <f>'Księgowania za 2020 r.'!F9</f>
        <v>Czasopismo branżowe za IIQ 2020</v>
      </c>
      <c r="C6" s="19" t="s">
        <v>154</v>
      </c>
      <c r="D6" s="19" t="str">
        <f>'Księgowania za 2020 r.'!C9</f>
        <v>FV 124/2020</v>
      </c>
      <c r="E6" s="20">
        <f>'Księgowania za 2020 r.'!B9</f>
        <v>43889</v>
      </c>
      <c r="F6" s="21">
        <f>'Księgowania za 2020 r.'!G10</f>
        <v>600</v>
      </c>
      <c r="G6" s="22">
        <v>3</v>
      </c>
      <c r="H6" s="23">
        <f>J6-I6+1</f>
        <v>91</v>
      </c>
      <c r="I6" s="24">
        <v>43922</v>
      </c>
      <c r="J6" s="25">
        <v>44012</v>
      </c>
      <c r="K6" s="26">
        <f>SUM(L6:N6)</f>
        <v>600</v>
      </c>
      <c r="L6" s="59">
        <f>ROUND($F$6/$G$6,2)</f>
        <v>200</v>
      </c>
      <c r="M6" s="60">
        <f>ROUND($F$6/$G$6,2)</f>
        <v>200</v>
      </c>
      <c r="N6" s="61">
        <f t="shared" ref="N6" si="0">ROUND($F$6/$G$6,2)</f>
        <v>200</v>
      </c>
    </row>
    <row r="7" spans="1:14" x14ac:dyDescent="0.35">
      <c r="A7" s="29"/>
      <c r="B7" s="29"/>
      <c r="C7" s="29"/>
      <c r="D7" s="29"/>
      <c r="E7" s="20"/>
      <c r="F7" s="27"/>
      <c r="G7" s="30"/>
      <c r="H7" s="23"/>
      <c r="I7" s="31"/>
      <c r="J7" s="31"/>
      <c r="K7" s="26"/>
      <c r="L7" s="53"/>
      <c r="M7" s="27"/>
      <c r="N7" s="28"/>
    </row>
    <row r="8" spans="1:14" ht="15" thickBot="1" x14ac:dyDescent="0.4">
      <c r="A8" s="29"/>
      <c r="B8" s="29"/>
      <c r="C8" s="29"/>
      <c r="D8" s="29"/>
      <c r="E8" s="29"/>
      <c r="F8" s="27"/>
      <c r="G8" s="30"/>
      <c r="H8" s="30"/>
      <c r="I8" s="32"/>
      <c r="J8" s="32"/>
      <c r="K8" s="26">
        <f>SUM(M8:N8)</f>
        <v>0</v>
      </c>
      <c r="L8" s="53"/>
      <c r="M8" s="27"/>
      <c r="N8" s="28"/>
    </row>
    <row r="9" spans="1:14" s="9" customFormat="1" x14ac:dyDescent="0.35">
      <c r="A9" s="13"/>
      <c r="B9" s="13"/>
      <c r="C9" s="13"/>
      <c r="D9" s="13"/>
      <c r="E9" s="13"/>
      <c r="F9" s="33">
        <f>SUM(F6:F8)</f>
        <v>600</v>
      </c>
      <c r="G9" s="13"/>
      <c r="H9" s="13"/>
      <c r="I9" s="34"/>
      <c r="J9" s="34"/>
      <c r="K9" s="35">
        <f>SUM(K6:K8)</f>
        <v>600</v>
      </c>
      <c r="L9" s="54">
        <f>SUM(L6:L8)</f>
        <v>200</v>
      </c>
      <c r="M9" s="36">
        <f>SUM(M6:M8)</f>
        <v>200</v>
      </c>
      <c r="N9" s="37">
        <f>SUM(N6:N8)</f>
        <v>200</v>
      </c>
    </row>
    <row r="10" spans="1:14" x14ac:dyDescent="0.35">
      <c r="K10" s="38"/>
      <c r="L10" s="39"/>
      <c r="M10" s="55"/>
      <c r="N10" s="40"/>
    </row>
    <row r="11" spans="1:14" x14ac:dyDescent="0.35">
      <c r="J11" s="41" t="s">
        <v>150</v>
      </c>
      <c r="K11" s="42">
        <f>F9</f>
        <v>600</v>
      </c>
      <c r="L11" s="56">
        <f>$F$9</f>
        <v>600</v>
      </c>
      <c r="M11" s="51">
        <f>$F$9</f>
        <v>600</v>
      </c>
      <c r="N11" s="43">
        <f>$F$9</f>
        <v>600</v>
      </c>
    </row>
    <row r="12" spans="1:14" x14ac:dyDescent="0.35">
      <c r="J12" s="44" t="s">
        <v>151</v>
      </c>
      <c r="K12" s="45">
        <f>K9</f>
        <v>600</v>
      </c>
      <c r="L12" s="57">
        <f>L9</f>
        <v>200</v>
      </c>
      <c r="M12" s="52">
        <f>M9</f>
        <v>200</v>
      </c>
      <c r="N12" s="47">
        <f t="shared" ref="N12" si="1">N9</f>
        <v>200</v>
      </c>
    </row>
    <row r="13" spans="1:14" x14ac:dyDescent="0.35">
      <c r="J13" s="44" t="s">
        <v>152</v>
      </c>
      <c r="K13" s="45">
        <f>K12</f>
        <v>600</v>
      </c>
      <c r="L13" s="57">
        <f>L12</f>
        <v>200</v>
      </c>
      <c r="M13" s="52">
        <f>L13+M12</f>
        <v>400</v>
      </c>
      <c r="N13" s="47">
        <f>M13+N12</f>
        <v>600</v>
      </c>
    </row>
    <row r="14" spans="1:14" ht="15" thickBot="1" x14ac:dyDescent="0.4">
      <c r="J14" s="41" t="s">
        <v>153</v>
      </c>
      <c r="K14" s="48">
        <f>K11-K13</f>
        <v>0</v>
      </c>
      <c r="L14" s="58">
        <f t="shared" ref="L14:N14" si="2">L11-L13</f>
        <v>400</v>
      </c>
      <c r="M14" s="49">
        <f t="shared" si="2"/>
        <v>200</v>
      </c>
      <c r="N14" s="50">
        <f t="shared" si="2"/>
        <v>0</v>
      </c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99AB-013F-4CBC-9D05-4D599464FDF4}">
  <dimension ref="A1:L14"/>
  <sheetViews>
    <sheetView showGridLines="0" tabSelected="1" workbookViewId="0">
      <selection activeCell="M12" sqref="M12"/>
    </sheetView>
  </sheetViews>
  <sheetFormatPr defaultRowHeight="14.5" x14ac:dyDescent="0.35"/>
  <cols>
    <col min="1" max="1" width="11.08984375" bestFit="1" customWidth="1"/>
    <col min="2" max="2" width="10.6328125" bestFit="1" customWidth="1"/>
    <col min="3" max="3" width="11.90625" bestFit="1" customWidth="1"/>
    <col min="4" max="4" width="8.54296875" bestFit="1" customWidth="1"/>
    <col min="5" max="5" width="24.26953125" bestFit="1" customWidth="1"/>
    <col min="6" max="6" width="23.7265625" bestFit="1" customWidth="1"/>
    <col min="7" max="7" width="9.26953125" bestFit="1" customWidth="1"/>
    <col min="8" max="8" width="4" bestFit="1" customWidth="1"/>
    <col min="9" max="9" width="9.26953125" bestFit="1" customWidth="1"/>
    <col min="10" max="10" width="6.90625" bestFit="1" customWidth="1"/>
    <col min="11" max="11" width="11.08984375" bestFit="1" customWidth="1"/>
    <col min="12" max="12" width="8.453125" bestFit="1" customWidth="1"/>
  </cols>
  <sheetData>
    <row r="1" spans="1:12" s="9" customFormat="1" ht="29" x14ac:dyDescent="0.35">
      <c r="A1" s="96" t="s">
        <v>118</v>
      </c>
      <c r="B1" s="96" t="s">
        <v>119</v>
      </c>
      <c r="C1" s="96" t="s">
        <v>120</v>
      </c>
      <c r="D1" s="96" t="s">
        <v>121</v>
      </c>
      <c r="E1" s="96" t="s">
        <v>122</v>
      </c>
      <c r="F1" s="96" t="s">
        <v>123</v>
      </c>
      <c r="G1" s="97" t="s">
        <v>124</v>
      </c>
      <c r="H1" s="97" t="s">
        <v>125</v>
      </c>
      <c r="I1" s="97" t="s">
        <v>126</v>
      </c>
      <c r="J1" s="97" t="s">
        <v>131</v>
      </c>
      <c r="K1" s="96" t="s">
        <v>130</v>
      </c>
      <c r="L1" s="96" t="s">
        <v>127</v>
      </c>
    </row>
    <row r="2" spans="1:12" x14ac:dyDescent="0.35">
      <c r="A2" s="2">
        <v>43866</v>
      </c>
      <c r="B2" s="2">
        <v>43866</v>
      </c>
      <c r="C2" t="s">
        <v>133</v>
      </c>
      <c r="D2" t="s">
        <v>59</v>
      </c>
      <c r="E2" t="s">
        <v>63</v>
      </c>
      <c r="F2" t="s">
        <v>134</v>
      </c>
      <c r="G2" s="3">
        <v>200</v>
      </c>
      <c r="H2" s="3"/>
      <c r="I2" s="3">
        <v>200</v>
      </c>
      <c r="J2" s="5" t="s">
        <v>136</v>
      </c>
      <c r="K2" t="s">
        <v>135</v>
      </c>
    </row>
    <row r="3" spans="1:12" x14ac:dyDescent="0.35">
      <c r="A3" s="2">
        <v>43921</v>
      </c>
      <c r="B3" s="2">
        <v>43895</v>
      </c>
      <c r="C3" t="s">
        <v>193</v>
      </c>
      <c r="D3" t="s">
        <v>59</v>
      </c>
      <c r="E3" t="s">
        <v>63</v>
      </c>
      <c r="F3" t="s">
        <v>194</v>
      </c>
      <c r="G3" s="3">
        <v>200</v>
      </c>
      <c r="H3" s="3"/>
      <c r="I3" s="3">
        <v>200</v>
      </c>
      <c r="J3" s="5" t="s">
        <v>136</v>
      </c>
      <c r="K3" t="s">
        <v>135</v>
      </c>
    </row>
    <row r="4" spans="1:12" x14ac:dyDescent="0.35">
      <c r="A4" s="2">
        <v>43921</v>
      </c>
      <c r="B4" s="2">
        <v>43921</v>
      </c>
      <c r="C4" t="s">
        <v>195</v>
      </c>
      <c r="D4" t="s">
        <v>99</v>
      </c>
      <c r="E4" t="s">
        <v>100</v>
      </c>
      <c r="F4" t="s">
        <v>199</v>
      </c>
      <c r="G4" s="3">
        <v>0.4</v>
      </c>
      <c r="H4" s="3"/>
      <c r="I4" s="3">
        <v>0.4</v>
      </c>
      <c r="J4" s="5" t="s">
        <v>136</v>
      </c>
      <c r="K4" t="s">
        <v>135</v>
      </c>
    </row>
    <row r="5" spans="1:12" x14ac:dyDescent="0.35">
      <c r="A5" s="2">
        <v>43921</v>
      </c>
      <c r="B5" s="2">
        <v>43921</v>
      </c>
      <c r="C5" t="s">
        <v>203</v>
      </c>
      <c r="D5" t="s">
        <v>59</v>
      </c>
      <c r="E5" t="s">
        <v>63</v>
      </c>
      <c r="F5" t="s">
        <v>207</v>
      </c>
      <c r="G5" s="3">
        <v>50</v>
      </c>
      <c r="H5" s="3"/>
      <c r="I5" s="3">
        <v>50</v>
      </c>
      <c r="J5" s="5" t="s">
        <v>136</v>
      </c>
      <c r="K5" t="s">
        <v>135</v>
      </c>
    </row>
    <row r="6" spans="1:12" x14ac:dyDescent="0.35">
      <c r="A6" s="2">
        <v>43931</v>
      </c>
      <c r="B6" s="2">
        <v>43926</v>
      </c>
      <c r="C6" t="s">
        <v>220</v>
      </c>
      <c r="D6" t="s">
        <v>59</v>
      </c>
      <c r="E6" t="s">
        <v>63</v>
      </c>
      <c r="F6" t="s">
        <v>219</v>
      </c>
      <c r="G6" s="3">
        <v>300</v>
      </c>
      <c r="H6" s="3"/>
      <c r="I6" s="3">
        <v>300</v>
      </c>
      <c r="J6" s="5" t="s">
        <v>136</v>
      </c>
      <c r="K6" t="s">
        <v>135</v>
      </c>
    </row>
    <row r="7" spans="1:12" x14ac:dyDescent="0.35">
      <c r="A7" s="2">
        <v>43951</v>
      </c>
      <c r="B7" s="2">
        <v>43951</v>
      </c>
      <c r="C7" t="s">
        <v>222</v>
      </c>
      <c r="D7" t="s">
        <v>59</v>
      </c>
      <c r="E7" t="s">
        <v>63</v>
      </c>
      <c r="F7" t="s">
        <v>225</v>
      </c>
      <c r="G7" s="3">
        <v>50</v>
      </c>
      <c r="H7" s="3"/>
      <c r="I7" s="3">
        <v>50</v>
      </c>
      <c r="J7" s="5" t="s">
        <v>136</v>
      </c>
      <c r="K7" t="s">
        <v>135</v>
      </c>
    </row>
    <row r="10" spans="1:12" x14ac:dyDescent="0.35">
      <c r="E10" s="110">
        <v>402</v>
      </c>
      <c r="F10" t="s">
        <v>268</v>
      </c>
      <c r="G10" s="3">
        <f>G2+G3+G6</f>
        <v>700</v>
      </c>
    </row>
    <row r="11" spans="1:12" x14ac:dyDescent="0.35">
      <c r="E11" s="110">
        <v>402</v>
      </c>
      <c r="F11" t="s">
        <v>269</v>
      </c>
      <c r="G11" s="3">
        <f>G5+G7</f>
        <v>100</v>
      </c>
    </row>
    <row r="12" spans="1:12" x14ac:dyDescent="0.35">
      <c r="E12" s="110">
        <v>761</v>
      </c>
      <c r="F12" t="s">
        <v>270</v>
      </c>
      <c r="G12" s="3">
        <f>G4</f>
        <v>0.4</v>
      </c>
    </row>
    <row r="14" spans="1:12" x14ac:dyDescent="0.35">
      <c r="G14" s="3">
        <f>SUM(G10:G13)</f>
        <v>800.4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4662-EF62-465E-A7A9-291C07C20F1B}">
  <dimension ref="A2:B73"/>
  <sheetViews>
    <sheetView showGridLines="0" topLeftCell="A25" workbookViewId="0">
      <selection activeCell="A41" sqref="A41"/>
    </sheetView>
  </sheetViews>
  <sheetFormatPr defaultRowHeight="14.5" x14ac:dyDescent="0.35"/>
  <cols>
    <col min="2" max="2" width="100.7265625" bestFit="1" customWidth="1"/>
  </cols>
  <sheetData>
    <row r="2" spans="1:2" x14ac:dyDescent="0.35">
      <c r="A2" s="1" t="s">
        <v>0</v>
      </c>
      <c r="B2" t="s">
        <v>1</v>
      </c>
    </row>
    <row r="3" spans="1:2" x14ac:dyDescent="0.35">
      <c r="A3" s="1" t="s">
        <v>2</v>
      </c>
      <c r="B3" t="s">
        <v>3</v>
      </c>
    </row>
    <row r="4" spans="1:2" x14ac:dyDescent="0.35">
      <c r="A4" s="1" t="s">
        <v>4</v>
      </c>
      <c r="B4" t="s">
        <v>5</v>
      </c>
    </row>
    <row r="5" spans="1:2" x14ac:dyDescent="0.35">
      <c r="A5" s="1" t="s">
        <v>7</v>
      </c>
      <c r="B5" t="s">
        <v>6</v>
      </c>
    </row>
    <row r="6" spans="1:2" x14ac:dyDescent="0.35">
      <c r="A6" s="1" t="s">
        <v>8</v>
      </c>
      <c r="B6" t="s">
        <v>218</v>
      </c>
    </row>
    <row r="7" spans="1:2" x14ac:dyDescent="0.35">
      <c r="A7" s="1" t="s">
        <v>9</v>
      </c>
      <c r="B7" t="s">
        <v>10</v>
      </c>
    </row>
    <row r="8" spans="1:2" x14ac:dyDescent="0.35">
      <c r="A8" s="1" t="s">
        <v>11</v>
      </c>
      <c r="B8" t="s">
        <v>12</v>
      </c>
    </row>
    <row r="10" spans="1:2" x14ac:dyDescent="0.35">
      <c r="A10" s="1" t="s">
        <v>13</v>
      </c>
      <c r="B10" t="s">
        <v>14</v>
      </c>
    </row>
    <row r="11" spans="1:2" x14ac:dyDescent="0.35">
      <c r="A11" s="1" t="s">
        <v>15</v>
      </c>
      <c r="B11" t="s">
        <v>16</v>
      </c>
    </row>
    <row r="12" spans="1:2" x14ac:dyDescent="0.35">
      <c r="A12" s="1" t="s">
        <v>17</v>
      </c>
      <c r="B12" t="s">
        <v>18</v>
      </c>
    </row>
    <row r="13" spans="1:2" x14ac:dyDescent="0.35">
      <c r="A13" s="1" t="s">
        <v>19</v>
      </c>
      <c r="B13" t="s">
        <v>20</v>
      </c>
    </row>
    <row r="15" spans="1:2" x14ac:dyDescent="0.35">
      <c r="A15" s="1" t="s">
        <v>21</v>
      </c>
      <c r="B15" t="s">
        <v>22</v>
      </c>
    </row>
    <row r="16" spans="1:2" x14ac:dyDescent="0.35">
      <c r="A16" s="1" t="s">
        <v>23</v>
      </c>
      <c r="B16" t="s">
        <v>24</v>
      </c>
    </row>
    <row r="17" spans="1:2" x14ac:dyDescent="0.35">
      <c r="A17" s="1" t="s">
        <v>25</v>
      </c>
      <c r="B17" t="s">
        <v>26</v>
      </c>
    </row>
    <row r="18" spans="1:2" x14ac:dyDescent="0.35">
      <c r="A18" s="1" t="s">
        <v>27</v>
      </c>
      <c r="B18" t="s">
        <v>28</v>
      </c>
    </row>
    <row r="19" spans="1:2" x14ac:dyDescent="0.35">
      <c r="A19" s="1" t="s">
        <v>29</v>
      </c>
      <c r="B19" t="s">
        <v>30</v>
      </c>
    </row>
    <row r="20" spans="1:2" x14ac:dyDescent="0.35">
      <c r="A20" s="1" t="s">
        <v>32</v>
      </c>
      <c r="B20" t="s">
        <v>36</v>
      </c>
    </row>
    <row r="21" spans="1:2" x14ac:dyDescent="0.35">
      <c r="A21" s="1" t="s">
        <v>34</v>
      </c>
      <c r="B21" t="s">
        <v>37</v>
      </c>
    </row>
    <row r="22" spans="1:2" x14ac:dyDescent="0.35">
      <c r="A22" s="1" t="s">
        <v>35</v>
      </c>
      <c r="B22" t="s">
        <v>33</v>
      </c>
    </row>
    <row r="23" spans="1:2" x14ac:dyDescent="0.35">
      <c r="A23" s="1" t="s">
        <v>38</v>
      </c>
      <c r="B23" t="s">
        <v>39</v>
      </c>
    </row>
    <row r="24" spans="1:2" x14ac:dyDescent="0.35">
      <c r="A24" s="1" t="s">
        <v>31</v>
      </c>
      <c r="B24" t="s">
        <v>40</v>
      </c>
    </row>
    <row r="25" spans="1:2" x14ac:dyDescent="0.35">
      <c r="A25" s="1" t="s">
        <v>41</v>
      </c>
      <c r="B25" t="s">
        <v>42</v>
      </c>
    </row>
    <row r="26" spans="1:2" x14ac:dyDescent="0.35">
      <c r="A26" s="1" t="s">
        <v>43</v>
      </c>
      <c r="B26" t="s">
        <v>44</v>
      </c>
    </row>
    <row r="27" spans="1:2" x14ac:dyDescent="0.35">
      <c r="A27" s="1"/>
    </row>
    <row r="28" spans="1:2" x14ac:dyDescent="0.35">
      <c r="A28" s="1" t="s">
        <v>45</v>
      </c>
      <c r="B28" t="s">
        <v>46</v>
      </c>
    </row>
    <row r="29" spans="1:2" x14ac:dyDescent="0.35">
      <c r="A29" s="1" t="s">
        <v>47</v>
      </c>
      <c r="B29" t="s">
        <v>48</v>
      </c>
    </row>
    <row r="30" spans="1:2" x14ac:dyDescent="0.35">
      <c r="A30" s="1" t="s">
        <v>49</v>
      </c>
      <c r="B30" t="s">
        <v>50</v>
      </c>
    </row>
    <row r="31" spans="1:2" x14ac:dyDescent="0.35">
      <c r="A31" s="1" t="s">
        <v>51</v>
      </c>
      <c r="B31" t="s">
        <v>52</v>
      </c>
    </row>
    <row r="32" spans="1:2" x14ac:dyDescent="0.35">
      <c r="A32" s="1" t="s">
        <v>53</v>
      </c>
      <c r="B32" t="s">
        <v>54</v>
      </c>
    </row>
    <row r="35" spans="1:2" x14ac:dyDescent="0.35">
      <c r="A35" s="1" t="s">
        <v>55</v>
      </c>
      <c r="B35" t="s">
        <v>56</v>
      </c>
    </row>
    <row r="36" spans="1:2" x14ac:dyDescent="0.35">
      <c r="A36" s="1" t="s">
        <v>57</v>
      </c>
      <c r="B36" t="s">
        <v>58</v>
      </c>
    </row>
    <row r="37" spans="1:2" x14ac:dyDescent="0.35">
      <c r="A37" s="1" t="s">
        <v>59</v>
      </c>
      <c r="B37" t="s">
        <v>63</v>
      </c>
    </row>
    <row r="38" spans="1:2" x14ac:dyDescent="0.35">
      <c r="A38" s="1" t="s">
        <v>60</v>
      </c>
      <c r="B38" t="s">
        <v>64</v>
      </c>
    </row>
    <row r="39" spans="1:2" x14ac:dyDescent="0.35">
      <c r="A39" s="1" t="s">
        <v>61</v>
      </c>
      <c r="B39" t="s">
        <v>65</v>
      </c>
    </row>
    <row r="40" spans="1:2" x14ac:dyDescent="0.35">
      <c r="A40" s="1" t="s">
        <v>62</v>
      </c>
      <c r="B40" t="s">
        <v>66</v>
      </c>
    </row>
    <row r="41" spans="1:2" x14ac:dyDescent="0.35">
      <c r="A41" s="1" t="s">
        <v>67</v>
      </c>
      <c r="B41" t="s">
        <v>68</v>
      </c>
    </row>
    <row r="42" spans="1:2" x14ac:dyDescent="0.35">
      <c r="A42" s="1" t="s">
        <v>69</v>
      </c>
      <c r="B42" t="s">
        <v>70</v>
      </c>
    </row>
    <row r="44" spans="1:2" x14ac:dyDescent="0.35">
      <c r="A44" s="1" t="s">
        <v>71</v>
      </c>
      <c r="B44" t="s">
        <v>72</v>
      </c>
    </row>
    <row r="45" spans="1:2" x14ac:dyDescent="0.35">
      <c r="A45" s="1" t="s">
        <v>73</v>
      </c>
      <c r="B45" t="s">
        <v>74</v>
      </c>
    </row>
    <row r="46" spans="1:2" x14ac:dyDescent="0.35">
      <c r="A46" s="1" t="s">
        <v>75</v>
      </c>
      <c r="B46" t="s">
        <v>76</v>
      </c>
    </row>
    <row r="47" spans="1:2" x14ac:dyDescent="0.35">
      <c r="A47" s="1" t="s">
        <v>77</v>
      </c>
      <c r="B47" t="s">
        <v>78</v>
      </c>
    </row>
    <row r="48" spans="1:2" x14ac:dyDescent="0.35">
      <c r="A48" s="1" t="s">
        <v>80</v>
      </c>
      <c r="B48" t="s">
        <v>79</v>
      </c>
    </row>
    <row r="50" spans="1:2" x14ac:dyDescent="0.35">
      <c r="A50" s="1" t="s">
        <v>82</v>
      </c>
      <c r="B50" t="s">
        <v>81</v>
      </c>
    </row>
    <row r="51" spans="1:2" x14ac:dyDescent="0.35">
      <c r="A51" s="1" t="s">
        <v>83</v>
      </c>
      <c r="B51" t="s">
        <v>87</v>
      </c>
    </row>
    <row r="52" spans="1:2" x14ac:dyDescent="0.35">
      <c r="A52" s="1" t="s">
        <v>84</v>
      </c>
      <c r="B52" t="s">
        <v>139</v>
      </c>
    </row>
    <row r="53" spans="1:2" x14ac:dyDescent="0.35">
      <c r="A53" s="1" t="s">
        <v>85</v>
      </c>
      <c r="B53" t="s">
        <v>86</v>
      </c>
    </row>
    <row r="55" spans="1:2" x14ac:dyDescent="0.35">
      <c r="A55" s="1" t="s">
        <v>88</v>
      </c>
      <c r="B55" t="s">
        <v>93</v>
      </c>
    </row>
    <row r="56" spans="1:2" x14ac:dyDescent="0.35">
      <c r="A56" s="1" t="s">
        <v>89</v>
      </c>
      <c r="B56" t="s">
        <v>90</v>
      </c>
    </row>
    <row r="57" spans="1:2" x14ac:dyDescent="0.35">
      <c r="A57" s="1" t="s">
        <v>91</v>
      </c>
      <c r="B57" t="s">
        <v>94</v>
      </c>
    </row>
    <row r="58" spans="1:2" x14ac:dyDescent="0.35">
      <c r="A58" s="1" t="s">
        <v>92</v>
      </c>
      <c r="B58" t="s">
        <v>95</v>
      </c>
    </row>
    <row r="59" spans="1:2" x14ac:dyDescent="0.35">
      <c r="A59" s="1" t="s">
        <v>96</v>
      </c>
      <c r="B59" t="s">
        <v>102</v>
      </c>
    </row>
    <row r="60" spans="1:2" x14ac:dyDescent="0.35">
      <c r="A60" s="1" t="s">
        <v>97</v>
      </c>
      <c r="B60" t="s">
        <v>103</v>
      </c>
    </row>
    <row r="61" spans="1:2" x14ac:dyDescent="0.35">
      <c r="A61" s="1" t="s">
        <v>98</v>
      </c>
      <c r="B61" t="s">
        <v>101</v>
      </c>
    </row>
    <row r="62" spans="1:2" x14ac:dyDescent="0.35">
      <c r="A62" s="1" t="s">
        <v>99</v>
      </c>
      <c r="B62" t="s">
        <v>100</v>
      </c>
    </row>
    <row r="65" spans="1:2" x14ac:dyDescent="0.35">
      <c r="A65" s="1" t="s">
        <v>104</v>
      </c>
      <c r="B65" t="s">
        <v>105</v>
      </c>
    </row>
    <row r="66" spans="1:2" x14ac:dyDescent="0.35">
      <c r="A66" s="1" t="s">
        <v>106</v>
      </c>
      <c r="B66" t="s">
        <v>107</v>
      </c>
    </row>
    <row r="68" spans="1:2" x14ac:dyDescent="0.35">
      <c r="A68" s="1" t="s">
        <v>108</v>
      </c>
      <c r="B68" t="s">
        <v>109</v>
      </c>
    </row>
    <row r="69" spans="1:2" x14ac:dyDescent="0.35">
      <c r="A69" s="1" t="s">
        <v>111</v>
      </c>
      <c r="B69" t="s">
        <v>110</v>
      </c>
    </row>
    <row r="70" spans="1:2" x14ac:dyDescent="0.35">
      <c r="A70" s="1" t="s">
        <v>112</v>
      </c>
      <c r="B70" t="s">
        <v>113</v>
      </c>
    </row>
    <row r="71" spans="1:2" x14ac:dyDescent="0.35">
      <c r="A71" s="1" t="s">
        <v>114</v>
      </c>
      <c r="B71" t="s">
        <v>116</v>
      </c>
    </row>
    <row r="72" spans="1:2" x14ac:dyDescent="0.35">
      <c r="A72" s="1" t="s">
        <v>115</v>
      </c>
      <c r="B72" t="s">
        <v>117</v>
      </c>
    </row>
    <row r="73" spans="1:2" x14ac:dyDescent="0.35">
      <c r="A73" s="1" t="s">
        <v>216</v>
      </c>
      <c r="B73" t="s">
        <v>217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E01AC-0A81-4AA5-AEB6-A9A17D25DF00}">
  <dimension ref="A1:L61"/>
  <sheetViews>
    <sheetView showGridLines="0" topLeftCell="D1" workbookViewId="0">
      <selection activeCell="G12" sqref="G12"/>
    </sheetView>
  </sheetViews>
  <sheetFormatPr defaultRowHeight="14.5" x14ac:dyDescent="0.35"/>
  <cols>
    <col min="1" max="1" width="11.90625" customWidth="1"/>
    <col min="2" max="2" width="10.6328125" bestFit="1" customWidth="1"/>
    <col min="3" max="3" width="17" bestFit="1" customWidth="1"/>
    <col min="4" max="4" width="12.1796875" customWidth="1"/>
    <col min="5" max="5" width="50.1796875" bestFit="1" customWidth="1"/>
    <col min="6" max="6" width="29.54296875" bestFit="1" customWidth="1"/>
    <col min="7" max="7" width="10.7265625" style="3" bestFit="1" customWidth="1"/>
    <col min="8" max="9" width="12" style="3" customWidth="1"/>
    <col min="10" max="10" width="12" style="5" customWidth="1"/>
    <col min="11" max="11" width="16.90625" customWidth="1"/>
    <col min="12" max="12" width="9.81640625" bestFit="1" customWidth="1"/>
  </cols>
  <sheetData>
    <row r="1" spans="1:12" s="9" customFormat="1" ht="29" x14ac:dyDescent="0.35">
      <c r="A1" s="96" t="s">
        <v>118</v>
      </c>
      <c r="B1" s="96" t="s">
        <v>119</v>
      </c>
      <c r="C1" s="96" t="s">
        <v>120</v>
      </c>
      <c r="D1" s="96" t="s">
        <v>121</v>
      </c>
      <c r="E1" s="96" t="s">
        <v>122</v>
      </c>
      <c r="F1" s="96" t="s">
        <v>123</v>
      </c>
      <c r="G1" s="97" t="s">
        <v>124</v>
      </c>
      <c r="H1" s="97" t="s">
        <v>125</v>
      </c>
      <c r="I1" s="97" t="s">
        <v>126</v>
      </c>
      <c r="J1" s="97" t="s">
        <v>131</v>
      </c>
      <c r="K1" s="96" t="s">
        <v>130</v>
      </c>
      <c r="L1" s="96" t="s">
        <v>127</v>
      </c>
    </row>
    <row r="2" spans="1:12" x14ac:dyDescent="0.35">
      <c r="A2" s="2">
        <v>43861</v>
      </c>
      <c r="B2" s="2">
        <v>43855</v>
      </c>
      <c r="C2" t="s">
        <v>128</v>
      </c>
      <c r="D2" s="1" t="s">
        <v>15</v>
      </c>
      <c r="E2" t="str">
        <f>VLOOKUP(D2,'Plan kont'!A:B,2,0)</f>
        <v>Rachunek bankowy</v>
      </c>
      <c r="F2" t="s">
        <v>129</v>
      </c>
      <c r="G2" s="3">
        <v>5000</v>
      </c>
      <c r="I2" s="3">
        <f>G2-H2</f>
        <v>5000</v>
      </c>
      <c r="J2" s="5" t="s">
        <v>132</v>
      </c>
    </row>
    <row r="3" spans="1:12" x14ac:dyDescent="0.35">
      <c r="A3" s="2">
        <v>43861</v>
      </c>
      <c r="B3" s="2">
        <v>43855</v>
      </c>
      <c r="C3" t="s">
        <v>128</v>
      </c>
      <c r="D3" t="s">
        <v>104</v>
      </c>
      <c r="E3" t="str">
        <f>VLOOKUP(D3,'Plan kont'!A:B,2,0)</f>
        <v>Kapitał zakładowy</v>
      </c>
      <c r="F3" t="s">
        <v>129</v>
      </c>
      <c r="H3" s="3">
        <v>5000</v>
      </c>
      <c r="I3" s="3">
        <f t="shared" ref="I3:I59" si="0">G3-H3</f>
        <v>-5000</v>
      </c>
      <c r="J3" s="5" t="s">
        <v>132</v>
      </c>
    </row>
    <row r="4" spans="1:12" x14ac:dyDescent="0.35">
      <c r="A4" s="2">
        <v>43866</v>
      </c>
      <c r="B4" s="2">
        <v>43866</v>
      </c>
      <c r="C4" t="s">
        <v>133</v>
      </c>
      <c r="D4" t="s">
        <v>23</v>
      </c>
      <c r="E4" t="str">
        <f>VLOOKUP(D4,'Plan kont'!A:B,2,0)</f>
        <v>Rozrachunki z dostawcami</v>
      </c>
      <c r="F4" t="s">
        <v>134</v>
      </c>
      <c r="H4" s="3">
        <v>246</v>
      </c>
      <c r="I4" s="3">
        <f t="shared" si="0"/>
        <v>-246</v>
      </c>
      <c r="J4" s="5" t="s">
        <v>132</v>
      </c>
    </row>
    <row r="5" spans="1:12" x14ac:dyDescent="0.35">
      <c r="A5" s="2">
        <v>43866</v>
      </c>
      <c r="B5" s="2">
        <v>43866</v>
      </c>
      <c r="C5" t="s">
        <v>133</v>
      </c>
      <c r="D5" t="s">
        <v>27</v>
      </c>
      <c r="E5" t="str">
        <f>VLOOKUP(D5,'Plan kont'!A:B,2,0)</f>
        <v>VAT naliczony</v>
      </c>
      <c r="F5" t="s">
        <v>134</v>
      </c>
      <c r="G5" s="3">
        <v>46</v>
      </c>
      <c r="I5" s="3">
        <f t="shared" si="0"/>
        <v>46</v>
      </c>
      <c r="J5" s="5" t="s">
        <v>132</v>
      </c>
    </row>
    <row r="6" spans="1:12" x14ac:dyDescent="0.35">
      <c r="A6" s="2">
        <v>43866</v>
      </c>
      <c r="B6" s="2">
        <v>43866</v>
      </c>
      <c r="C6" t="s">
        <v>133</v>
      </c>
      <c r="D6" t="s">
        <v>59</v>
      </c>
      <c r="E6" t="str">
        <f>VLOOKUP(D6,'Plan kont'!A:B,2,0)</f>
        <v>Usługi obce</v>
      </c>
      <c r="F6" t="s">
        <v>134</v>
      </c>
      <c r="G6" s="3">
        <v>200</v>
      </c>
      <c r="I6" s="3">
        <f t="shared" si="0"/>
        <v>200</v>
      </c>
      <c r="J6" s="5" t="s">
        <v>136</v>
      </c>
      <c r="K6" t="s">
        <v>135</v>
      </c>
    </row>
    <row r="7" spans="1:12" x14ac:dyDescent="0.35">
      <c r="A7" s="2">
        <v>43871</v>
      </c>
      <c r="B7" s="2">
        <v>43871</v>
      </c>
      <c r="C7" t="s">
        <v>202</v>
      </c>
      <c r="D7" t="s">
        <v>23</v>
      </c>
      <c r="E7" t="str">
        <f>VLOOKUP(D7,'Plan kont'!A:B,2,0)</f>
        <v>Rozrachunki z dostawcami</v>
      </c>
      <c r="F7" t="s">
        <v>204</v>
      </c>
      <c r="G7" s="3">
        <v>246</v>
      </c>
      <c r="I7" s="3">
        <f t="shared" si="0"/>
        <v>246</v>
      </c>
      <c r="J7" s="5" t="s">
        <v>132</v>
      </c>
    </row>
    <row r="8" spans="1:12" x14ac:dyDescent="0.35">
      <c r="A8" s="2">
        <v>43871</v>
      </c>
      <c r="B8" s="2">
        <v>43871</v>
      </c>
      <c r="C8" t="s">
        <v>202</v>
      </c>
      <c r="D8" s="1" t="s">
        <v>15</v>
      </c>
      <c r="E8" t="str">
        <f>VLOOKUP(D8,'Plan kont'!A:B,2,0)</f>
        <v>Rachunek bankowy</v>
      </c>
      <c r="F8" t="s">
        <v>204</v>
      </c>
      <c r="H8" s="3">
        <v>246</v>
      </c>
      <c r="I8" s="3">
        <f t="shared" si="0"/>
        <v>-246</v>
      </c>
      <c r="J8" s="5" t="s">
        <v>132</v>
      </c>
    </row>
    <row r="9" spans="1:12" x14ac:dyDescent="0.35">
      <c r="A9" s="2">
        <v>43889</v>
      </c>
      <c r="B9" s="2">
        <v>43889</v>
      </c>
      <c r="C9" t="s">
        <v>137</v>
      </c>
      <c r="D9" t="s">
        <v>23</v>
      </c>
      <c r="E9" t="str">
        <f>VLOOKUP(D9,'Plan kont'!A:B,2,0)</f>
        <v>Rozrachunki z dostawcami</v>
      </c>
      <c r="F9" t="s">
        <v>138</v>
      </c>
      <c r="H9" s="3">
        <v>600</v>
      </c>
      <c r="I9" s="3">
        <f t="shared" si="0"/>
        <v>-600</v>
      </c>
      <c r="J9" s="5" t="s">
        <v>132</v>
      </c>
    </row>
    <row r="10" spans="1:12" x14ac:dyDescent="0.35">
      <c r="A10" s="2">
        <v>43889</v>
      </c>
      <c r="B10" s="2">
        <v>43889</v>
      </c>
      <c r="C10" t="s">
        <v>137</v>
      </c>
      <c r="D10" t="s">
        <v>84</v>
      </c>
      <c r="E10" t="str">
        <f>VLOOKUP(D10,'Plan kont'!A:B,2,0)</f>
        <v>Rozliczenia międzyokresowe czynne</v>
      </c>
      <c r="F10" t="s">
        <v>138</v>
      </c>
      <c r="G10" s="3">
        <v>600</v>
      </c>
      <c r="I10" s="3">
        <f t="shared" si="0"/>
        <v>600</v>
      </c>
      <c r="J10" s="5" t="s">
        <v>132</v>
      </c>
    </row>
    <row r="11" spans="1:12" x14ac:dyDescent="0.35">
      <c r="A11" s="2">
        <v>43889</v>
      </c>
      <c r="B11" s="2">
        <v>43889</v>
      </c>
      <c r="C11" t="s">
        <v>155</v>
      </c>
      <c r="D11" t="s">
        <v>27</v>
      </c>
      <c r="E11" t="str">
        <f>VLOOKUP(D11,'Plan kont'!A:B,2,0)</f>
        <v>VAT naliczony</v>
      </c>
      <c r="F11" t="s">
        <v>156</v>
      </c>
      <c r="H11" s="3">
        <f>G5</f>
        <v>46</v>
      </c>
      <c r="I11" s="3">
        <f t="shared" si="0"/>
        <v>-46</v>
      </c>
      <c r="J11" s="5" t="s">
        <v>132</v>
      </c>
    </row>
    <row r="12" spans="1:12" x14ac:dyDescent="0.35">
      <c r="A12" s="2">
        <v>43889</v>
      </c>
      <c r="B12" s="2">
        <v>43889</v>
      </c>
      <c r="C12" t="s">
        <v>155</v>
      </c>
      <c r="D12" s="1" t="s">
        <v>29</v>
      </c>
      <c r="E12" t="str">
        <f>VLOOKUP(D12,'Plan kont'!A:B,2,0)</f>
        <v>Rozrachunki z urzędem skarbowym z tytułu VAT</v>
      </c>
      <c r="F12" t="s">
        <v>156</v>
      </c>
      <c r="G12" s="3">
        <v>46</v>
      </c>
      <c r="I12" s="3">
        <f t="shared" si="0"/>
        <v>46</v>
      </c>
      <c r="J12" s="5" t="s">
        <v>132</v>
      </c>
    </row>
    <row r="13" spans="1:12" x14ac:dyDescent="0.35">
      <c r="A13" s="2">
        <v>43891</v>
      </c>
      <c r="B13" s="2">
        <v>43891</v>
      </c>
      <c r="C13" t="s">
        <v>157</v>
      </c>
      <c r="D13" t="s">
        <v>23</v>
      </c>
      <c r="E13" t="str">
        <f>VLOOKUP(D13,'Plan kont'!A:B,2,0)</f>
        <v>Rozrachunki z dostawcami</v>
      </c>
      <c r="F13" t="s">
        <v>158</v>
      </c>
      <c r="H13" s="3">
        <f>G14+G15</f>
        <v>3690</v>
      </c>
      <c r="I13" s="3">
        <f t="shared" si="0"/>
        <v>-3690</v>
      </c>
      <c r="J13" s="5" t="s">
        <v>132</v>
      </c>
    </row>
    <row r="14" spans="1:12" x14ac:dyDescent="0.35">
      <c r="A14" s="2">
        <v>43891</v>
      </c>
      <c r="B14" s="2">
        <v>43891</v>
      </c>
      <c r="C14" t="s">
        <v>157</v>
      </c>
      <c r="D14" t="s">
        <v>27</v>
      </c>
      <c r="E14" t="str">
        <f>VLOOKUP(D14,'Plan kont'!A:B,2,0)</f>
        <v>VAT naliczony</v>
      </c>
      <c r="F14" t="s">
        <v>158</v>
      </c>
      <c r="G14" s="3">
        <f>G15*23%</f>
        <v>690</v>
      </c>
      <c r="I14" s="3">
        <f t="shared" si="0"/>
        <v>690</v>
      </c>
      <c r="J14" s="5" t="s">
        <v>132</v>
      </c>
    </row>
    <row r="15" spans="1:12" x14ac:dyDescent="0.35">
      <c r="A15" s="2">
        <v>43891</v>
      </c>
      <c r="B15" s="2">
        <v>43891</v>
      </c>
      <c r="C15" t="s">
        <v>157</v>
      </c>
      <c r="D15" t="s">
        <v>45</v>
      </c>
      <c r="E15" t="str">
        <f>VLOOKUP(D15,'Plan kont'!A:B,2,0)</f>
        <v>Rozliczenie zakupu</v>
      </c>
      <c r="F15" t="s">
        <v>158</v>
      </c>
      <c r="G15" s="3">
        <v>3000</v>
      </c>
      <c r="I15" s="3">
        <f t="shared" si="0"/>
        <v>3000</v>
      </c>
      <c r="J15" s="5" t="s">
        <v>132</v>
      </c>
    </row>
    <row r="16" spans="1:12" x14ac:dyDescent="0.35">
      <c r="A16" s="2">
        <v>43892</v>
      </c>
      <c r="B16" s="2">
        <v>43892</v>
      </c>
      <c r="C16" t="s">
        <v>159</v>
      </c>
      <c r="D16" t="s">
        <v>45</v>
      </c>
      <c r="E16" t="str">
        <f>VLOOKUP(D16,'Plan kont'!A:B,2,0)</f>
        <v>Rozliczenie zakupu</v>
      </c>
      <c r="F16" t="s">
        <v>160</v>
      </c>
      <c r="H16" s="3">
        <v>3000</v>
      </c>
      <c r="I16" s="3">
        <f t="shared" si="0"/>
        <v>-3000</v>
      </c>
      <c r="J16" s="5" t="s">
        <v>132</v>
      </c>
      <c r="L16" t="s">
        <v>161</v>
      </c>
    </row>
    <row r="17" spans="1:12" x14ac:dyDescent="0.35">
      <c r="A17" s="2">
        <v>43892</v>
      </c>
      <c r="B17" s="2">
        <v>43892</v>
      </c>
      <c r="C17" t="s">
        <v>159</v>
      </c>
      <c r="D17" t="s">
        <v>0</v>
      </c>
      <c r="E17" t="str">
        <f>VLOOKUP(D17,'Plan kont'!A:B,2,0)</f>
        <v>Środki trwałe</v>
      </c>
      <c r="F17" t="s">
        <v>160</v>
      </c>
      <c r="G17" s="3">
        <v>3000</v>
      </c>
      <c r="I17" s="3">
        <f t="shared" si="0"/>
        <v>3000</v>
      </c>
      <c r="J17" s="5" t="s">
        <v>132</v>
      </c>
    </row>
    <row r="18" spans="1:12" x14ac:dyDescent="0.35">
      <c r="A18" s="2">
        <v>43898</v>
      </c>
      <c r="B18" s="2">
        <v>43898</v>
      </c>
      <c r="C18" t="s">
        <v>203</v>
      </c>
      <c r="D18" t="s">
        <v>23</v>
      </c>
      <c r="E18" t="str">
        <f>VLOOKUP(D18,'Plan kont'!A:B,2,0)</f>
        <v>Rozrachunki z dostawcami</v>
      </c>
      <c r="F18" t="s">
        <v>205</v>
      </c>
      <c r="G18" s="3">
        <v>600</v>
      </c>
      <c r="I18" s="3">
        <f t="shared" si="0"/>
        <v>600</v>
      </c>
      <c r="J18" s="5" t="s">
        <v>132</v>
      </c>
    </row>
    <row r="19" spans="1:12" x14ac:dyDescent="0.35">
      <c r="A19" s="2">
        <v>43898</v>
      </c>
      <c r="B19" s="2">
        <v>43898</v>
      </c>
      <c r="C19" t="s">
        <v>203</v>
      </c>
      <c r="D19" s="1" t="s">
        <v>15</v>
      </c>
      <c r="E19" t="str">
        <f>VLOOKUP(D19,'Plan kont'!A:B,2,0)</f>
        <v>Rachunek bankowy</v>
      </c>
      <c r="F19" t="s">
        <v>205</v>
      </c>
      <c r="H19" s="3">
        <v>600</v>
      </c>
      <c r="I19" s="3">
        <f t="shared" si="0"/>
        <v>-600</v>
      </c>
      <c r="J19" s="5" t="s">
        <v>132</v>
      </c>
    </row>
    <row r="20" spans="1:12" x14ac:dyDescent="0.35">
      <c r="A20" s="2">
        <v>43905</v>
      </c>
      <c r="B20" s="2">
        <v>43905</v>
      </c>
      <c r="C20" t="s">
        <v>182</v>
      </c>
      <c r="D20" t="s">
        <v>23</v>
      </c>
      <c r="E20" t="str">
        <f>VLOOKUP(D20,'Plan kont'!A:B,2,0)</f>
        <v>Rozrachunki z dostawcami</v>
      </c>
      <c r="F20" t="s">
        <v>183</v>
      </c>
      <c r="H20" s="3">
        <f>G21+G22</f>
        <v>7134</v>
      </c>
      <c r="I20" s="3">
        <f t="shared" si="0"/>
        <v>-7134</v>
      </c>
      <c r="J20" s="5" t="s">
        <v>132</v>
      </c>
    </row>
    <row r="21" spans="1:12" x14ac:dyDescent="0.35">
      <c r="A21" s="2">
        <v>43905</v>
      </c>
      <c r="B21" s="2">
        <v>43905</v>
      </c>
      <c r="C21" t="s">
        <v>182</v>
      </c>
      <c r="D21" t="s">
        <v>27</v>
      </c>
      <c r="E21" t="str">
        <f>VLOOKUP(D21,'Plan kont'!A:B,2,0)</f>
        <v>VAT naliczony</v>
      </c>
      <c r="F21" t="s">
        <v>183</v>
      </c>
      <c r="G21" s="3">
        <f>G22*23%</f>
        <v>1334</v>
      </c>
      <c r="I21" s="3">
        <f t="shared" si="0"/>
        <v>1334</v>
      </c>
      <c r="J21" s="5" t="s">
        <v>132</v>
      </c>
    </row>
    <row r="22" spans="1:12" x14ac:dyDescent="0.35">
      <c r="A22" s="2">
        <v>43905</v>
      </c>
      <c r="B22" s="2">
        <v>43905</v>
      </c>
      <c r="C22" t="s">
        <v>182</v>
      </c>
      <c r="D22" t="s">
        <v>45</v>
      </c>
      <c r="E22" t="str">
        <f>VLOOKUP(D22,'Plan kont'!A:B,2,0)</f>
        <v>Rozliczenie zakupu</v>
      </c>
      <c r="F22" t="s">
        <v>183</v>
      </c>
      <c r="G22" s="3">
        <v>5800</v>
      </c>
      <c r="I22" s="3">
        <f t="shared" si="0"/>
        <v>5800</v>
      </c>
      <c r="J22" s="5" t="s">
        <v>132</v>
      </c>
    </row>
    <row r="23" spans="1:12" x14ac:dyDescent="0.35">
      <c r="A23" s="2">
        <v>43905</v>
      </c>
      <c r="B23" s="2">
        <v>43905</v>
      </c>
      <c r="C23" t="s">
        <v>184</v>
      </c>
      <c r="D23" t="s">
        <v>49</v>
      </c>
      <c r="E23" t="str">
        <f>VLOOKUP(D23,'Plan kont'!A:B,2,0)</f>
        <v>Towary</v>
      </c>
      <c r="F23" t="s">
        <v>185</v>
      </c>
      <c r="G23" s="3">
        <v>5800</v>
      </c>
      <c r="I23" s="3">
        <f t="shared" si="0"/>
        <v>5800</v>
      </c>
      <c r="J23" s="5" t="s">
        <v>132</v>
      </c>
      <c r="L23" t="s">
        <v>192</v>
      </c>
    </row>
    <row r="24" spans="1:12" x14ac:dyDescent="0.35">
      <c r="A24" s="2">
        <v>43905</v>
      </c>
      <c r="B24" s="2">
        <v>43905</v>
      </c>
      <c r="C24" t="s">
        <v>184</v>
      </c>
      <c r="D24" t="s">
        <v>45</v>
      </c>
      <c r="E24" t="str">
        <f>VLOOKUP(D24,'Plan kont'!A:B,2,0)</f>
        <v>Rozliczenie zakupu</v>
      </c>
      <c r="F24" t="s">
        <v>185</v>
      </c>
      <c r="H24" s="3">
        <v>5800</v>
      </c>
      <c r="I24" s="3">
        <f>G24-H24</f>
        <v>-5800</v>
      </c>
      <c r="J24" s="5" t="s">
        <v>132</v>
      </c>
      <c r="L24" t="s">
        <v>192</v>
      </c>
    </row>
    <row r="25" spans="1:12" x14ac:dyDescent="0.35">
      <c r="A25" s="2">
        <v>43914</v>
      </c>
      <c r="B25" s="2">
        <v>43914</v>
      </c>
      <c r="C25" t="s">
        <v>186</v>
      </c>
      <c r="D25" s="1" t="s">
        <v>21</v>
      </c>
      <c r="E25" t="str">
        <f>VLOOKUP(D25,'Plan kont'!A:B,2,0)</f>
        <v>Rozrachunki z odbiorcami</v>
      </c>
      <c r="F25" t="s">
        <v>187</v>
      </c>
      <c r="G25" s="3">
        <f>H26+H27</f>
        <v>6420.6</v>
      </c>
      <c r="I25" s="3">
        <f t="shared" si="0"/>
        <v>6420.6</v>
      </c>
      <c r="J25" s="5" t="s">
        <v>132</v>
      </c>
      <c r="L25" t="s">
        <v>188</v>
      </c>
    </row>
    <row r="26" spans="1:12" x14ac:dyDescent="0.35">
      <c r="A26" s="2">
        <v>43914</v>
      </c>
      <c r="B26" s="2">
        <v>43914</v>
      </c>
      <c r="C26" t="s">
        <v>186</v>
      </c>
      <c r="D26" s="1" t="s">
        <v>25</v>
      </c>
      <c r="E26" t="str">
        <f>VLOOKUP(D26,'Plan kont'!A:B,2,0)</f>
        <v>VAT należny</v>
      </c>
      <c r="F26" t="s">
        <v>187</v>
      </c>
      <c r="H26" s="3">
        <f>H27*23%</f>
        <v>1200.6000000000001</v>
      </c>
      <c r="I26" s="3">
        <f t="shared" si="0"/>
        <v>-1200.6000000000001</v>
      </c>
      <c r="J26" s="5" t="s">
        <v>132</v>
      </c>
      <c r="L26" t="s">
        <v>188</v>
      </c>
    </row>
    <row r="27" spans="1:12" x14ac:dyDescent="0.35">
      <c r="A27" s="2">
        <v>43914</v>
      </c>
      <c r="B27" s="2">
        <v>43914</v>
      </c>
      <c r="C27" t="s">
        <v>186</v>
      </c>
      <c r="D27" t="s">
        <v>91</v>
      </c>
      <c r="E27" t="str">
        <f>VLOOKUP(D27,'Plan kont'!A:B,2,0)</f>
        <v>Sprzedaż towarów</v>
      </c>
      <c r="F27" t="s">
        <v>187</v>
      </c>
      <c r="H27" s="3">
        <f>ROUND(75*58*120%,2)</f>
        <v>5220</v>
      </c>
      <c r="I27" s="3">
        <f t="shared" si="0"/>
        <v>-5220</v>
      </c>
      <c r="J27" s="5" t="s">
        <v>136</v>
      </c>
      <c r="K27" t="s">
        <v>274</v>
      </c>
      <c r="L27" t="s">
        <v>188</v>
      </c>
    </row>
    <row r="28" spans="1:12" x14ac:dyDescent="0.35">
      <c r="A28" s="2">
        <v>43915</v>
      </c>
      <c r="B28" s="2">
        <v>43915</v>
      </c>
      <c r="C28" t="s">
        <v>189</v>
      </c>
      <c r="D28" t="s">
        <v>49</v>
      </c>
      <c r="E28" t="str">
        <f>VLOOKUP(D28,'Plan kont'!A:B,2,0)</f>
        <v>Towary</v>
      </c>
      <c r="F28" t="s">
        <v>190</v>
      </c>
      <c r="H28" s="3">
        <f>75*58</f>
        <v>4350</v>
      </c>
      <c r="I28" s="3">
        <f t="shared" si="0"/>
        <v>-4350</v>
      </c>
      <c r="J28" s="5" t="s">
        <v>132</v>
      </c>
      <c r="L28" t="s">
        <v>191</v>
      </c>
    </row>
    <row r="29" spans="1:12" x14ac:dyDescent="0.35">
      <c r="A29" s="2">
        <v>43915</v>
      </c>
      <c r="B29" s="2">
        <v>43915</v>
      </c>
      <c r="C29" t="s">
        <v>189</v>
      </c>
      <c r="D29" t="s">
        <v>92</v>
      </c>
      <c r="E29" t="str">
        <f>VLOOKUP(D29,'Plan kont'!A:B,2,0)</f>
        <v>Wartość sprzedanych towarów w cenach zakupu (nabycia)</v>
      </c>
      <c r="F29" t="s">
        <v>190</v>
      </c>
      <c r="G29" s="3">
        <f>75*58</f>
        <v>4350</v>
      </c>
      <c r="I29" s="3">
        <f t="shared" si="0"/>
        <v>4350</v>
      </c>
      <c r="J29" s="5" t="s">
        <v>136</v>
      </c>
      <c r="K29" t="s">
        <v>135</v>
      </c>
      <c r="L29" t="s">
        <v>191</v>
      </c>
    </row>
    <row r="30" spans="1:12" x14ac:dyDescent="0.35">
      <c r="A30" s="2">
        <v>43921</v>
      </c>
      <c r="B30" s="2">
        <v>43921</v>
      </c>
      <c r="C30" t="s">
        <v>203</v>
      </c>
      <c r="D30" s="1" t="s">
        <v>15</v>
      </c>
      <c r="E30" t="str">
        <f>VLOOKUP(D30,'Plan kont'!A:B,2,0)</f>
        <v>Rachunek bankowy</v>
      </c>
      <c r="F30" t="s">
        <v>206</v>
      </c>
      <c r="H30" s="3">
        <v>3690</v>
      </c>
      <c r="I30" s="3">
        <f t="shared" ref="I30:I34" si="1">G30-H30</f>
        <v>-3690</v>
      </c>
      <c r="J30" s="5" t="s">
        <v>132</v>
      </c>
    </row>
    <row r="31" spans="1:12" x14ac:dyDescent="0.35">
      <c r="A31" s="2">
        <v>43921</v>
      </c>
      <c r="B31" s="2">
        <v>43921</v>
      </c>
      <c r="C31" t="s">
        <v>203</v>
      </c>
      <c r="D31" t="s">
        <v>23</v>
      </c>
      <c r="E31" t="str">
        <f>VLOOKUP(D31,'Plan kont'!A:B,2,0)</f>
        <v>Rozrachunki z dostawcami</v>
      </c>
      <c r="F31" t="s">
        <v>206</v>
      </c>
      <c r="G31" s="3">
        <v>3690</v>
      </c>
      <c r="I31" s="3">
        <f t="shared" si="1"/>
        <v>3690</v>
      </c>
      <c r="J31" s="5" t="s">
        <v>132</v>
      </c>
    </row>
    <row r="32" spans="1:12" x14ac:dyDescent="0.35">
      <c r="A32" s="2">
        <v>43921</v>
      </c>
      <c r="B32" s="2">
        <v>43895</v>
      </c>
      <c r="C32" t="s">
        <v>193</v>
      </c>
      <c r="D32" t="s">
        <v>23</v>
      </c>
      <c r="E32" t="str">
        <f>VLOOKUP(D32,'Plan kont'!A:B,2,0)</f>
        <v>Rozrachunki z dostawcami</v>
      </c>
      <c r="F32" t="s">
        <v>194</v>
      </c>
      <c r="H32" s="3">
        <v>246</v>
      </c>
      <c r="I32" s="3">
        <f>G32-H32</f>
        <v>-246</v>
      </c>
      <c r="J32" s="5" t="s">
        <v>132</v>
      </c>
    </row>
    <row r="33" spans="1:11" x14ac:dyDescent="0.35">
      <c r="A33" s="2">
        <v>43921</v>
      </c>
      <c r="B33" s="2">
        <v>43895</v>
      </c>
      <c r="C33" t="s">
        <v>193</v>
      </c>
      <c r="D33" t="s">
        <v>27</v>
      </c>
      <c r="E33" t="str">
        <f>VLOOKUP(D33,'Plan kont'!A:B,2,0)</f>
        <v>VAT naliczony</v>
      </c>
      <c r="F33" t="s">
        <v>194</v>
      </c>
      <c r="G33" s="3">
        <v>46</v>
      </c>
      <c r="I33" s="3">
        <f t="shared" si="1"/>
        <v>46</v>
      </c>
      <c r="J33" s="5" t="s">
        <v>132</v>
      </c>
    </row>
    <row r="34" spans="1:11" x14ac:dyDescent="0.35">
      <c r="A34" s="2">
        <v>43921</v>
      </c>
      <c r="B34" s="2">
        <v>43895</v>
      </c>
      <c r="C34" t="s">
        <v>193</v>
      </c>
      <c r="D34" t="s">
        <v>59</v>
      </c>
      <c r="E34" t="str">
        <f>VLOOKUP(D34,'Plan kont'!A:B,2,0)</f>
        <v>Usługi obce</v>
      </c>
      <c r="F34" t="s">
        <v>194</v>
      </c>
      <c r="G34" s="3">
        <v>200</v>
      </c>
      <c r="I34" s="3">
        <f t="shared" si="1"/>
        <v>200</v>
      </c>
      <c r="J34" s="5" t="s">
        <v>136</v>
      </c>
      <c r="K34" t="s">
        <v>135</v>
      </c>
    </row>
    <row r="35" spans="1:11" x14ac:dyDescent="0.35">
      <c r="A35" s="2">
        <v>43921</v>
      </c>
      <c r="B35" s="2">
        <v>43921</v>
      </c>
      <c r="C35" t="s">
        <v>195</v>
      </c>
      <c r="D35" t="s">
        <v>27</v>
      </c>
      <c r="E35" t="str">
        <f>VLOOKUP(D35,'Plan kont'!A:B,2,0)</f>
        <v>VAT naliczony</v>
      </c>
      <c r="F35" t="s">
        <v>199</v>
      </c>
      <c r="H35" s="3">
        <v>2070</v>
      </c>
      <c r="I35" s="3">
        <f t="shared" si="0"/>
        <v>-2070</v>
      </c>
      <c r="J35" s="5" t="s">
        <v>132</v>
      </c>
    </row>
    <row r="36" spans="1:11" x14ac:dyDescent="0.35">
      <c r="A36" s="2">
        <v>43921</v>
      </c>
      <c r="B36" s="2">
        <v>43921</v>
      </c>
      <c r="C36" t="s">
        <v>195</v>
      </c>
      <c r="D36" s="1" t="s">
        <v>25</v>
      </c>
      <c r="E36" t="str">
        <f>VLOOKUP(D36,'Plan kont'!A:B,2,0)</f>
        <v>VAT należny</v>
      </c>
      <c r="F36" t="s">
        <v>199</v>
      </c>
      <c r="G36" s="3">
        <v>1200.5999999999999</v>
      </c>
      <c r="I36" s="3">
        <f t="shared" si="0"/>
        <v>1200.5999999999999</v>
      </c>
      <c r="J36" s="5" t="s">
        <v>132</v>
      </c>
    </row>
    <row r="37" spans="1:11" x14ac:dyDescent="0.35">
      <c r="A37" s="2">
        <v>43921</v>
      </c>
      <c r="B37" s="2">
        <v>43921</v>
      </c>
      <c r="C37" t="s">
        <v>195</v>
      </c>
      <c r="D37" s="1" t="s">
        <v>29</v>
      </c>
      <c r="E37" t="str">
        <f>VLOOKUP(D37,'Plan kont'!A:B,2,0)</f>
        <v>Rozrachunki z urzędem skarbowym z tytułu VAT</v>
      </c>
      <c r="F37" t="s">
        <v>199</v>
      </c>
      <c r="G37" s="3">
        <v>869</v>
      </c>
      <c r="I37" s="3">
        <f t="shared" si="0"/>
        <v>869</v>
      </c>
      <c r="J37" s="5" t="s">
        <v>132</v>
      </c>
    </row>
    <row r="38" spans="1:11" x14ac:dyDescent="0.35">
      <c r="A38" s="2">
        <v>43921</v>
      </c>
      <c r="B38" s="2">
        <v>43921</v>
      </c>
      <c r="C38" t="s">
        <v>195</v>
      </c>
      <c r="D38" t="s">
        <v>99</v>
      </c>
      <c r="E38" t="str">
        <f>VLOOKUP(D38,'Plan kont'!A:B,2,0)</f>
        <v>Pozostałe koszty operacyjne</v>
      </c>
      <c r="F38" t="s">
        <v>199</v>
      </c>
      <c r="G38" s="3">
        <v>0.4</v>
      </c>
      <c r="I38" s="3">
        <f t="shared" si="0"/>
        <v>0.4</v>
      </c>
      <c r="J38" s="5" t="s">
        <v>136</v>
      </c>
      <c r="K38" t="s">
        <v>135</v>
      </c>
    </row>
    <row r="39" spans="1:11" x14ac:dyDescent="0.35">
      <c r="A39" s="2">
        <v>43921</v>
      </c>
      <c r="B39" s="2">
        <v>43921</v>
      </c>
      <c r="C39" t="s">
        <v>203</v>
      </c>
      <c r="D39" s="1" t="s">
        <v>15</v>
      </c>
      <c r="E39" t="str">
        <f>VLOOKUP(D39,'Plan kont'!A:B,2,0)</f>
        <v>Rachunek bankowy</v>
      </c>
      <c r="F39" t="s">
        <v>207</v>
      </c>
      <c r="H39" s="3">
        <v>50</v>
      </c>
      <c r="I39" s="3">
        <f t="shared" si="0"/>
        <v>-50</v>
      </c>
      <c r="J39" s="5" t="s">
        <v>132</v>
      </c>
    </row>
    <row r="40" spans="1:11" x14ac:dyDescent="0.35">
      <c r="A40" s="2">
        <v>43921</v>
      </c>
      <c r="B40" s="2">
        <v>43921</v>
      </c>
      <c r="C40" t="s">
        <v>203</v>
      </c>
      <c r="D40" t="s">
        <v>59</v>
      </c>
      <c r="E40" t="str">
        <f>VLOOKUP(D40,'Plan kont'!A:B,2,0)</f>
        <v>Usługi obce</v>
      </c>
      <c r="F40" t="s">
        <v>207</v>
      </c>
      <c r="G40" s="3">
        <v>50</v>
      </c>
      <c r="I40" s="3">
        <f t="shared" si="0"/>
        <v>50</v>
      </c>
      <c r="J40" s="5" t="s">
        <v>136</v>
      </c>
      <c r="K40" t="s">
        <v>135</v>
      </c>
    </row>
    <row r="41" spans="1:11" x14ac:dyDescent="0.35">
      <c r="A41" s="2">
        <v>43921</v>
      </c>
      <c r="B41" s="2">
        <v>43921</v>
      </c>
      <c r="C41" t="s">
        <v>214</v>
      </c>
      <c r="D41" t="s">
        <v>35</v>
      </c>
      <c r="E41" t="str">
        <f>VLOOKUP(D41,'Plan kont'!A:B,2,0)</f>
        <v>CIT</v>
      </c>
      <c r="F41" t="s">
        <v>215</v>
      </c>
      <c r="H41" s="3">
        <f>'CIT 03.2020'!I12</f>
        <v>80</v>
      </c>
      <c r="I41" s="3">
        <f t="shared" si="0"/>
        <v>-80</v>
      </c>
      <c r="J41" s="5" t="s">
        <v>132</v>
      </c>
    </row>
    <row r="42" spans="1:11" x14ac:dyDescent="0.35">
      <c r="A42" s="2">
        <v>43921</v>
      </c>
      <c r="B42" s="2">
        <v>43921</v>
      </c>
      <c r="C42" t="s">
        <v>214</v>
      </c>
      <c r="D42" t="s">
        <v>216</v>
      </c>
      <c r="E42" t="str">
        <f>VLOOKUP(D42,'Plan kont'!A:B,2,0)</f>
        <v>Podatek dochodowy</v>
      </c>
      <c r="F42" t="s">
        <v>215</v>
      </c>
      <c r="G42" s="3">
        <f>H41</f>
        <v>80</v>
      </c>
      <c r="I42" s="3">
        <f t="shared" si="0"/>
        <v>80</v>
      </c>
      <c r="J42" s="5" t="s">
        <v>136</v>
      </c>
      <c r="K42" t="s">
        <v>33</v>
      </c>
    </row>
    <row r="43" spans="1:11" x14ac:dyDescent="0.35">
      <c r="A43" s="2">
        <v>43931</v>
      </c>
      <c r="B43" s="2">
        <v>43926</v>
      </c>
      <c r="C43" t="s">
        <v>220</v>
      </c>
      <c r="D43" t="s">
        <v>23</v>
      </c>
      <c r="E43" t="str">
        <f>VLOOKUP(D43,'Plan kont'!A:B,2,0)</f>
        <v>Rozrachunki z dostawcami</v>
      </c>
      <c r="F43" t="s">
        <v>219</v>
      </c>
      <c r="H43" s="3">
        <f>G44+G45</f>
        <v>369</v>
      </c>
      <c r="I43" s="3">
        <f t="shared" si="0"/>
        <v>-369</v>
      </c>
      <c r="J43" s="5" t="s">
        <v>132</v>
      </c>
    </row>
    <row r="44" spans="1:11" x14ac:dyDescent="0.35">
      <c r="A44" s="2">
        <v>43931</v>
      </c>
      <c r="B44" s="2">
        <v>43926</v>
      </c>
      <c r="C44" t="s">
        <v>220</v>
      </c>
      <c r="D44" t="s">
        <v>27</v>
      </c>
      <c r="E44" t="str">
        <f>VLOOKUP(D44,'Plan kont'!A:B,2,0)</f>
        <v>VAT naliczony</v>
      </c>
      <c r="F44" t="s">
        <v>219</v>
      </c>
      <c r="G44" s="3">
        <v>69</v>
      </c>
      <c r="I44" s="3">
        <f t="shared" si="0"/>
        <v>69</v>
      </c>
      <c r="J44" s="5" t="s">
        <v>132</v>
      </c>
    </row>
    <row r="45" spans="1:11" x14ac:dyDescent="0.35">
      <c r="A45" s="2">
        <v>43931</v>
      </c>
      <c r="B45" s="2">
        <v>43926</v>
      </c>
      <c r="C45" t="s">
        <v>220</v>
      </c>
      <c r="D45" t="s">
        <v>59</v>
      </c>
      <c r="E45" t="str">
        <f>VLOOKUP(D45,'Plan kont'!A:B,2,0)</f>
        <v>Usługi obce</v>
      </c>
      <c r="F45" t="s">
        <v>219</v>
      </c>
      <c r="G45" s="3">
        <v>300</v>
      </c>
      <c r="I45" s="3">
        <f t="shared" si="0"/>
        <v>300</v>
      </c>
      <c r="J45" s="5" t="s">
        <v>136</v>
      </c>
      <c r="K45" t="s">
        <v>135</v>
      </c>
    </row>
    <row r="46" spans="1:11" x14ac:dyDescent="0.35">
      <c r="A46" s="2">
        <v>43934</v>
      </c>
      <c r="B46" s="2">
        <v>43934</v>
      </c>
      <c r="C46" t="s">
        <v>222</v>
      </c>
      <c r="D46" s="1" t="s">
        <v>15</v>
      </c>
      <c r="E46" t="str">
        <f>VLOOKUP(D46,'Plan kont'!A:B,2,0)</f>
        <v>Rachunek bankowy</v>
      </c>
      <c r="F46" t="s">
        <v>223</v>
      </c>
      <c r="G46" s="3">
        <f>G25</f>
        <v>6420.6</v>
      </c>
      <c r="I46" s="3">
        <f t="shared" si="0"/>
        <v>6420.6</v>
      </c>
      <c r="J46" s="5" t="s">
        <v>132</v>
      </c>
    </row>
    <row r="47" spans="1:11" x14ac:dyDescent="0.35">
      <c r="A47" s="2">
        <v>43934</v>
      </c>
      <c r="B47" s="2">
        <v>43934</v>
      </c>
      <c r="C47" t="s">
        <v>222</v>
      </c>
      <c r="D47" s="1" t="s">
        <v>21</v>
      </c>
      <c r="E47" t="str">
        <f>VLOOKUP(D47,'Plan kont'!A:B,2,0)</f>
        <v>Rozrachunki z odbiorcami</v>
      </c>
      <c r="F47" t="s">
        <v>223</v>
      </c>
      <c r="H47" s="3">
        <f>G46</f>
        <v>6420.6</v>
      </c>
      <c r="I47" s="3">
        <f t="shared" si="0"/>
        <v>-6420.6</v>
      </c>
      <c r="J47" s="5" t="s">
        <v>132</v>
      </c>
    </row>
    <row r="48" spans="1:11" x14ac:dyDescent="0.35">
      <c r="A48" s="2">
        <v>43934</v>
      </c>
      <c r="B48" s="2">
        <v>43934</v>
      </c>
      <c r="C48" t="s">
        <v>222</v>
      </c>
      <c r="D48" s="1" t="s">
        <v>15</v>
      </c>
      <c r="E48" t="str">
        <f>VLOOKUP(D48,'Plan kont'!A:B,2,0)</f>
        <v>Rachunek bankowy</v>
      </c>
      <c r="F48" t="s">
        <v>224</v>
      </c>
      <c r="H48" s="3">
        <v>3000</v>
      </c>
      <c r="I48" s="3">
        <f t="shared" si="0"/>
        <v>-3000</v>
      </c>
      <c r="J48" s="5" t="s">
        <v>132</v>
      </c>
    </row>
    <row r="49" spans="1:12" x14ac:dyDescent="0.35">
      <c r="A49" s="2">
        <v>43934</v>
      </c>
      <c r="B49" s="2">
        <v>43934</v>
      </c>
      <c r="C49" t="s">
        <v>222</v>
      </c>
      <c r="D49" t="s">
        <v>23</v>
      </c>
      <c r="E49" t="str">
        <f>VLOOKUP(D49,'Plan kont'!A:B,2,0)</f>
        <v>Rozrachunki z dostawcami</v>
      </c>
      <c r="F49" t="s">
        <v>224</v>
      </c>
      <c r="G49" s="3">
        <v>3000</v>
      </c>
      <c r="I49" s="3">
        <f t="shared" si="0"/>
        <v>3000</v>
      </c>
      <c r="J49" s="5" t="s">
        <v>132</v>
      </c>
    </row>
    <row r="50" spans="1:12" x14ac:dyDescent="0.35">
      <c r="A50" s="2">
        <v>43951</v>
      </c>
      <c r="B50" s="2">
        <v>43951</v>
      </c>
      <c r="C50" t="s">
        <v>200</v>
      </c>
      <c r="D50" t="s">
        <v>55</v>
      </c>
      <c r="E50" t="str">
        <f>VLOOKUP(D50,'Plan kont'!A:B,2,0)</f>
        <v>Amortyzacja</v>
      </c>
      <c r="F50" t="s">
        <v>201</v>
      </c>
      <c r="G50" s="3">
        <f>ŚT!M6</f>
        <v>75</v>
      </c>
      <c r="I50" s="3">
        <f t="shared" si="0"/>
        <v>75</v>
      </c>
      <c r="J50" s="5" t="s">
        <v>136</v>
      </c>
      <c r="K50" t="s">
        <v>135</v>
      </c>
    </row>
    <row r="51" spans="1:12" x14ac:dyDescent="0.35">
      <c r="A51" s="2">
        <v>43951</v>
      </c>
      <c r="B51" s="2">
        <v>43951</v>
      </c>
      <c r="C51" t="s">
        <v>200</v>
      </c>
      <c r="D51" t="s">
        <v>8</v>
      </c>
      <c r="E51" t="str">
        <f>VLOOKUP(D51,'Plan kont'!A:B,2,0)</f>
        <v>Odpisy umorzeniowe ŚT, WNIP</v>
      </c>
      <c r="F51" t="s">
        <v>201</v>
      </c>
      <c r="H51" s="3">
        <f>ŚT!M6</f>
        <v>75</v>
      </c>
      <c r="I51" s="3">
        <f t="shared" si="0"/>
        <v>-75</v>
      </c>
      <c r="J51" s="5" t="s">
        <v>132</v>
      </c>
    </row>
    <row r="52" spans="1:12" x14ac:dyDescent="0.35">
      <c r="A52" s="2">
        <v>43951</v>
      </c>
      <c r="B52" s="2">
        <v>43951</v>
      </c>
      <c r="C52" t="s">
        <v>221</v>
      </c>
      <c r="D52" s="1" t="s">
        <v>84</v>
      </c>
      <c r="E52" t="str">
        <f>VLOOKUP(D52,'Plan kont'!A:B,2,0)</f>
        <v>Rozliczenia międzyokresowe czynne</v>
      </c>
      <c r="F52" t="s">
        <v>221</v>
      </c>
      <c r="H52" s="3">
        <f>RMK!L6</f>
        <v>200</v>
      </c>
      <c r="I52" s="3">
        <f t="shared" si="0"/>
        <v>-200</v>
      </c>
      <c r="J52" s="5" t="s">
        <v>132</v>
      </c>
    </row>
    <row r="53" spans="1:12" x14ac:dyDescent="0.35">
      <c r="A53" s="2">
        <v>43951</v>
      </c>
      <c r="B53" s="2">
        <v>43951</v>
      </c>
      <c r="C53" t="s">
        <v>221</v>
      </c>
      <c r="D53" t="s">
        <v>67</v>
      </c>
      <c r="E53" t="str">
        <f>VLOOKUP(D53,'Plan kont'!A:B,2,0)</f>
        <v>Pozostałe koszty rodzajowe</v>
      </c>
      <c r="F53" t="s">
        <v>221</v>
      </c>
      <c r="G53" s="3">
        <f>H52</f>
        <v>200</v>
      </c>
      <c r="I53" s="3">
        <f t="shared" si="0"/>
        <v>200</v>
      </c>
      <c r="J53" s="5" t="s">
        <v>136</v>
      </c>
      <c r="K53" t="s">
        <v>135</v>
      </c>
    </row>
    <row r="54" spans="1:12" x14ac:dyDescent="0.35">
      <c r="A54" s="2">
        <v>43951</v>
      </c>
      <c r="B54" s="2">
        <v>43951</v>
      </c>
      <c r="C54" t="s">
        <v>222</v>
      </c>
      <c r="D54" s="1" t="s">
        <v>15</v>
      </c>
      <c r="E54" t="str">
        <f>VLOOKUP(D54,'Plan kont'!A:B,2,0)</f>
        <v>Rachunek bankowy</v>
      </c>
      <c r="F54" t="s">
        <v>225</v>
      </c>
      <c r="H54" s="3">
        <v>50</v>
      </c>
      <c r="I54" s="3">
        <f t="shared" si="0"/>
        <v>-50</v>
      </c>
      <c r="J54" s="5" t="s">
        <v>132</v>
      </c>
    </row>
    <row r="55" spans="1:12" x14ac:dyDescent="0.35">
      <c r="A55" s="2">
        <v>43951</v>
      </c>
      <c r="B55" s="2">
        <v>43951</v>
      </c>
      <c r="C55" t="s">
        <v>222</v>
      </c>
      <c r="D55" t="s">
        <v>59</v>
      </c>
      <c r="E55" t="str">
        <f>VLOOKUP(D55,'Plan kont'!A:B,2,0)</f>
        <v>Usługi obce</v>
      </c>
      <c r="F55" t="s">
        <v>225</v>
      </c>
      <c r="G55" s="3">
        <v>50</v>
      </c>
      <c r="I55" s="3">
        <f t="shared" si="0"/>
        <v>50</v>
      </c>
      <c r="J55" s="5" t="s">
        <v>136</v>
      </c>
      <c r="K55" t="s">
        <v>135</v>
      </c>
    </row>
    <row r="56" spans="1:12" x14ac:dyDescent="0.35">
      <c r="A56" s="2">
        <v>43951</v>
      </c>
      <c r="B56" s="2">
        <v>43951</v>
      </c>
      <c r="C56" t="s">
        <v>222</v>
      </c>
      <c r="D56" s="1" t="s">
        <v>15</v>
      </c>
      <c r="E56" t="str">
        <f>VLOOKUP(D56,'Plan kont'!A:B,2,0)</f>
        <v>Rachunek bankowy</v>
      </c>
      <c r="F56" t="s">
        <v>227</v>
      </c>
      <c r="H56" s="3">
        <v>80</v>
      </c>
      <c r="I56" s="3">
        <f t="shared" si="0"/>
        <v>-80</v>
      </c>
      <c r="J56" s="5" t="s">
        <v>132</v>
      </c>
      <c r="L56" t="s">
        <v>242</v>
      </c>
    </row>
    <row r="57" spans="1:12" x14ac:dyDescent="0.35">
      <c r="A57" s="2">
        <v>43951</v>
      </c>
      <c r="B57" s="2">
        <v>43951</v>
      </c>
      <c r="C57" t="s">
        <v>222</v>
      </c>
      <c r="D57" t="s">
        <v>35</v>
      </c>
      <c r="E57" t="str">
        <f>VLOOKUP(D57,'Plan kont'!A:B,2,0)</f>
        <v>CIT</v>
      </c>
      <c r="F57" t="s">
        <v>227</v>
      </c>
      <c r="G57" s="3">
        <v>80</v>
      </c>
      <c r="I57" s="3">
        <f t="shared" si="0"/>
        <v>80</v>
      </c>
      <c r="J57" s="5" t="s">
        <v>132</v>
      </c>
      <c r="L57" t="s">
        <v>226</v>
      </c>
    </row>
    <row r="58" spans="1:12" x14ac:dyDescent="0.35">
      <c r="A58" s="2">
        <v>43951</v>
      </c>
      <c r="B58" s="2">
        <v>43951</v>
      </c>
      <c r="C58" t="s">
        <v>228</v>
      </c>
      <c r="D58" t="s">
        <v>27</v>
      </c>
      <c r="E58" t="str">
        <f>VLOOKUP(D58,'Plan kont'!A:B,2,0)</f>
        <v>VAT naliczony</v>
      </c>
      <c r="F58" t="s">
        <v>229</v>
      </c>
      <c r="H58" s="3">
        <v>69</v>
      </c>
      <c r="I58" s="3">
        <f t="shared" si="0"/>
        <v>-69</v>
      </c>
      <c r="J58" s="5" t="s">
        <v>132</v>
      </c>
    </row>
    <row r="59" spans="1:12" x14ac:dyDescent="0.35">
      <c r="A59" s="2">
        <v>43951</v>
      </c>
      <c r="B59" s="2">
        <v>43951</v>
      </c>
      <c r="C59" t="s">
        <v>228</v>
      </c>
      <c r="D59" s="1" t="s">
        <v>29</v>
      </c>
      <c r="E59" t="str">
        <f>VLOOKUP(D59,'Plan kont'!A:B,2,0)</f>
        <v>Rozrachunki z urzędem skarbowym z tytułu VAT</v>
      </c>
      <c r="F59" t="s">
        <v>229</v>
      </c>
      <c r="G59" s="3">
        <v>69</v>
      </c>
      <c r="I59" s="3">
        <f t="shared" si="0"/>
        <v>69</v>
      </c>
      <c r="J59" s="5" t="s">
        <v>132</v>
      </c>
    </row>
    <row r="60" spans="1:12" x14ac:dyDescent="0.35">
      <c r="A60" s="2"/>
      <c r="B60" s="2"/>
    </row>
    <row r="61" spans="1:12" x14ac:dyDescent="0.35">
      <c r="A61" s="2"/>
      <c r="B61" s="2"/>
    </row>
  </sheetData>
  <autoFilter ref="A1:L59" xr:uid="{DC97E1DA-45B2-42F1-B0D4-DFED17FBD17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0EEE-4682-4FCF-9C5E-B94F22CADDCB}">
  <sheetPr>
    <pageSetUpPr fitToPage="1"/>
  </sheetPr>
  <dimension ref="A2:U15"/>
  <sheetViews>
    <sheetView showGridLines="0" topLeftCell="A3" workbookViewId="0">
      <selection activeCell="L6" sqref="L6"/>
    </sheetView>
  </sheetViews>
  <sheetFormatPr defaultRowHeight="14.5" x14ac:dyDescent="0.35"/>
  <cols>
    <col min="1" max="1" width="9.81640625" customWidth="1"/>
    <col min="2" max="2" width="12.54296875" bestFit="1" customWidth="1"/>
    <col min="3" max="3" width="10.81640625" bestFit="1" customWidth="1"/>
    <col min="4" max="4" width="9.81640625" bestFit="1" customWidth="1"/>
    <col min="5" max="5" width="10.81640625" bestFit="1" customWidth="1"/>
    <col min="6" max="6" width="11.6328125" bestFit="1" customWidth="1"/>
    <col min="7" max="7" width="13.54296875" bestFit="1" customWidth="1"/>
    <col min="8" max="8" width="4.26953125" bestFit="1" customWidth="1"/>
    <col min="9" max="9" width="15.08984375" bestFit="1" customWidth="1"/>
    <col min="10" max="10" width="10.54296875" bestFit="1" customWidth="1"/>
    <col min="11" max="11" width="26.08984375" bestFit="1" customWidth="1"/>
    <col min="12" max="12" width="13.26953125" bestFit="1" customWidth="1"/>
    <col min="13" max="20" width="10.7265625" bestFit="1" customWidth="1"/>
    <col min="21" max="21" width="10.90625" bestFit="1" customWidth="1"/>
  </cols>
  <sheetData>
    <row r="2" spans="1:21" ht="21" x14ac:dyDescent="0.5">
      <c r="A2" s="112" t="s">
        <v>162</v>
      </c>
      <c r="B2" s="112"/>
      <c r="C2" s="112"/>
      <c r="D2" s="112"/>
      <c r="E2" s="112"/>
      <c r="F2" s="112"/>
      <c r="G2" s="112"/>
      <c r="H2" s="112"/>
      <c r="I2" s="112"/>
      <c r="J2" s="112"/>
      <c r="L2" s="12">
        <f>DATE(2020,6,30)</f>
        <v>44012</v>
      </c>
    </row>
    <row r="4" spans="1:21" ht="15" thickBot="1" x14ac:dyDescent="0.4"/>
    <row r="5" spans="1:21" s="9" customFormat="1" ht="29" x14ac:dyDescent="0.35">
      <c r="A5" s="62" t="s">
        <v>163</v>
      </c>
      <c r="B5" s="62" t="s">
        <v>164</v>
      </c>
      <c r="C5" s="62" t="s">
        <v>165</v>
      </c>
      <c r="D5" s="62" t="s">
        <v>166</v>
      </c>
      <c r="E5" s="62" t="s">
        <v>167</v>
      </c>
      <c r="F5" s="62" t="s">
        <v>168</v>
      </c>
      <c r="G5" s="62" t="s">
        <v>169</v>
      </c>
      <c r="H5" s="62" t="s">
        <v>170</v>
      </c>
      <c r="I5" s="62" t="s">
        <v>171</v>
      </c>
      <c r="J5" s="62" t="s">
        <v>172</v>
      </c>
      <c r="K5" s="63" t="s">
        <v>173</v>
      </c>
      <c r="L5" s="64" t="s">
        <v>174</v>
      </c>
      <c r="M5" s="65">
        <v>43951</v>
      </c>
      <c r="N5" s="66">
        <v>43982</v>
      </c>
      <c r="O5" s="66">
        <v>44012</v>
      </c>
      <c r="P5" s="66">
        <v>44043</v>
      </c>
      <c r="Q5" s="66">
        <v>44074</v>
      </c>
      <c r="R5" s="66">
        <v>44104</v>
      </c>
      <c r="S5" s="66">
        <v>44135</v>
      </c>
      <c r="T5" s="66">
        <v>44165</v>
      </c>
      <c r="U5" s="66">
        <v>44196</v>
      </c>
    </row>
    <row r="6" spans="1:21" s="7" customFormat="1" ht="29" x14ac:dyDescent="0.35">
      <c r="A6" s="18" t="s">
        <v>149</v>
      </c>
      <c r="B6" s="19" t="s">
        <v>175</v>
      </c>
      <c r="C6" s="19" t="s">
        <v>175</v>
      </c>
      <c r="D6" s="19" t="s">
        <v>177</v>
      </c>
      <c r="E6" s="19" t="s">
        <v>176</v>
      </c>
      <c r="F6" s="20">
        <f>'Księgowania za 2020 r.'!A15</f>
        <v>43891</v>
      </c>
      <c r="G6" s="21">
        <f>'Księgowania za 2020 r.'!G17</f>
        <v>3000</v>
      </c>
      <c r="H6" s="67" t="s">
        <v>178</v>
      </c>
      <c r="I6" s="68">
        <v>43922</v>
      </c>
      <c r="J6" s="19" t="s">
        <v>179</v>
      </c>
      <c r="K6" s="69">
        <v>0.3</v>
      </c>
      <c r="L6" s="26">
        <f>SUM(M6:U6)</f>
        <v>675</v>
      </c>
      <c r="M6" s="70">
        <f>ROUND($G$6*$K$6/12,2)</f>
        <v>75</v>
      </c>
      <c r="N6" s="21">
        <f t="shared" ref="N6:U6" si="0">ROUND($G$6*$K$6/12,2)</f>
        <v>75</v>
      </c>
      <c r="O6" s="21">
        <f t="shared" si="0"/>
        <v>75</v>
      </c>
      <c r="P6" s="21">
        <f t="shared" si="0"/>
        <v>75</v>
      </c>
      <c r="Q6" s="21">
        <f t="shared" si="0"/>
        <v>75</v>
      </c>
      <c r="R6" s="21">
        <f t="shared" si="0"/>
        <v>75</v>
      </c>
      <c r="S6" s="21">
        <f t="shared" si="0"/>
        <v>75</v>
      </c>
      <c r="T6" s="21">
        <f t="shared" si="0"/>
        <v>75</v>
      </c>
      <c r="U6" s="71">
        <f t="shared" si="0"/>
        <v>75</v>
      </c>
    </row>
    <row r="7" spans="1:21" x14ac:dyDescent="0.35">
      <c r="A7" s="29"/>
      <c r="B7" s="29"/>
      <c r="C7" s="29"/>
      <c r="D7" s="29"/>
      <c r="E7" s="29"/>
      <c r="F7" s="29"/>
      <c r="G7" s="29"/>
      <c r="H7" s="29"/>
      <c r="I7" s="29"/>
      <c r="J7" s="29"/>
      <c r="K7" s="72"/>
      <c r="L7" s="73"/>
      <c r="M7" s="74"/>
      <c r="N7" s="29"/>
      <c r="O7" s="29"/>
      <c r="P7" s="29"/>
      <c r="Q7" s="29"/>
      <c r="R7" s="29"/>
      <c r="S7" s="29"/>
      <c r="T7" s="29"/>
      <c r="U7" s="75"/>
    </row>
    <row r="8" spans="1:21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  <c r="K8" s="72"/>
      <c r="L8" s="73"/>
      <c r="M8" s="74"/>
      <c r="N8" s="29"/>
      <c r="O8" s="29"/>
      <c r="P8" s="29"/>
      <c r="Q8" s="29"/>
      <c r="R8" s="29"/>
      <c r="S8" s="29"/>
      <c r="T8" s="29"/>
      <c r="U8" s="75"/>
    </row>
    <row r="9" spans="1:21" x14ac:dyDescent="0.35">
      <c r="A9" s="29"/>
      <c r="B9" s="29"/>
      <c r="C9" s="29"/>
      <c r="D9" s="29"/>
      <c r="E9" s="29"/>
      <c r="F9" s="29"/>
      <c r="G9" s="29"/>
      <c r="H9" s="29"/>
      <c r="I9" s="29"/>
      <c r="J9" s="29"/>
      <c r="K9" s="72"/>
      <c r="L9" s="73"/>
      <c r="M9" s="74"/>
      <c r="N9" s="29"/>
      <c r="O9" s="29"/>
      <c r="P9" s="29"/>
      <c r="Q9" s="29"/>
      <c r="R9" s="29"/>
      <c r="S9" s="29"/>
      <c r="T9" s="29"/>
      <c r="U9" s="75"/>
    </row>
    <row r="10" spans="1:21" x14ac:dyDescent="0.35">
      <c r="A10" s="76">
        <f>COUNTA(A6:A9)</f>
        <v>1</v>
      </c>
      <c r="B10" s="77"/>
      <c r="C10" s="77"/>
      <c r="D10" s="77"/>
      <c r="E10" s="77"/>
      <c r="F10" s="77"/>
      <c r="G10" s="78">
        <f>SUM(G6:G9)</f>
        <v>3000</v>
      </c>
      <c r="H10" s="77"/>
      <c r="I10" s="77"/>
      <c r="J10" s="77"/>
      <c r="K10" s="79"/>
      <c r="L10" s="80">
        <f t="shared" ref="L10:U10" si="1">SUM(L6:L9)</f>
        <v>675</v>
      </c>
      <c r="M10" s="81">
        <f t="shared" si="1"/>
        <v>75</v>
      </c>
      <c r="N10" s="78">
        <f t="shared" si="1"/>
        <v>75</v>
      </c>
      <c r="O10" s="78">
        <f t="shared" si="1"/>
        <v>75</v>
      </c>
      <c r="P10" s="78">
        <f t="shared" si="1"/>
        <v>75</v>
      </c>
      <c r="Q10" s="78">
        <f t="shared" si="1"/>
        <v>75</v>
      </c>
      <c r="R10" s="78">
        <f t="shared" si="1"/>
        <v>75</v>
      </c>
      <c r="S10" s="78">
        <f t="shared" si="1"/>
        <v>75</v>
      </c>
      <c r="T10" s="78">
        <f t="shared" si="1"/>
        <v>75</v>
      </c>
      <c r="U10" s="82">
        <f t="shared" si="1"/>
        <v>75</v>
      </c>
    </row>
    <row r="11" spans="1:21" x14ac:dyDescent="0.35">
      <c r="L11" s="38"/>
      <c r="M11" s="39"/>
      <c r="N11" s="55"/>
      <c r="O11" s="55"/>
      <c r="P11" s="55"/>
      <c r="Q11" s="55"/>
      <c r="R11" s="55"/>
      <c r="S11" s="55"/>
      <c r="T11" s="55"/>
      <c r="U11" s="40"/>
    </row>
    <row r="12" spans="1:21" x14ac:dyDescent="0.35">
      <c r="K12" s="41" t="s">
        <v>150</v>
      </c>
      <c r="L12" s="42">
        <f>G10</f>
        <v>3000</v>
      </c>
      <c r="M12" s="56">
        <f>$G$10</f>
        <v>3000</v>
      </c>
      <c r="N12" s="51">
        <f t="shared" ref="N12:U12" si="2">$G$10</f>
        <v>3000</v>
      </c>
      <c r="O12" s="51">
        <f t="shared" si="2"/>
        <v>3000</v>
      </c>
      <c r="P12" s="51">
        <f t="shared" si="2"/>
        <v>3000</v>
      </c>
      <c r="Q12" s="51">
        <f t="shared" si="2"/>
        <v>3000</v>
      </c>
      <c r="R12" s="51">
        <f t="shared" si="2"/>
        <v>3000</v>
      </c>
      <c r="S12" s="51">
        <f t="shared" si="2"/>
        <v>3000</v>
      </c>
      <c r="T12" s="51">
        <f t="shared" si="2"/>
        <v>3000</v>
      </c>
      <c r="U12" s="43">
        <f t="shared" si="2"/>
        <v>3000</v>
      </c>
    </row>
    <row r="13" spans="1:21" x14ac:dyDescent="0.35">
      <c r="K13" s="44" t="s">
        <v>180</v>
      </c>
      <c r="L13" s="45">
        <f>L10</f>
        <v>675</v>
      </c>
      <c r="M13" s="57">
        <f>M10</f>
        <v>75</v>
      </c>
      <c r="N13" s="52">
        <f t="shared" ref="N13:R13" si="3">N10</f>
        <v>75</v>
      </c>
      <c r="O13" s="52">
        <f t="shared" si="3"/>
        <v>75</v>
      </c>
      <c r="P13" s="52">
        <f t="shared" si="3"/>
        <v>75</v>
      </c>
      <c r="Q13" s="52">
        <f t="shared" si="3"/>
        <v>75</v>
      </c>
      <c r="R13" s="52">
        <f t="shared" si="3"/>
        <v>75</v>
      </c>
      <c r="S13" s="52">
        <f t="shared" ref="S13:U13" si="4">S10</f>
        <v>75</v>
      </c>
      <c r="T13" s="52">
        <f t="shared" si="4"/>
        <v>75</v>
      </c>
      <c r="U13" s="47">
        <f t="shared" si="4"/>
        <v>75</v>
      </c>
    </row>
    <row r="14" spans="1:21" x14ac:dyDescent="0.35">
      <c r="K14" s="44" t="s">
        <v>181</v>
      </c>
      <c r="L14" s="45">
        <f>L13</f>
        <v>675</v>
      </c>
      <c r="M14" s="57">
        <f>M13</f>
        <v>75</v>
      </c>
      <c r="N14" s="52">
        <f>M14+N13</f>
        <v>150</v>
      </c>
      <c r="O14" s="52">
        <f t="shared" ref="O14:R14" si="5">N14+O13</f>
        <v>225</v>
      </c>
      <c r="P14" s="52">
        <f t="shared" si="5"/>
        <v>300</v>
      </c>
      <c r="Q14" s="52">
        <f t="shared" si="5"/>
        <v>375</v>
      </c>
      <c r="R14" s="52">
        <f t="shared" si="5"/>
        <v>450</v>
      </c>
      <c r="S14" s="52">
        <f t="shared" ref="S14" si="6">R14+S13</f>
        <v>525</v>
      </c>
      <c r="T14" s="52">
        <f t="shared" ref="T14" si="7">S14+T13</f>
        <v>600</v>
      </c>
      <c r="U14" s="47">
        <f t="shared" ref="U14" si="8">T14+U13</f>
        <v>675</v>
      </c>
    </row>
    <row r="15" spans="1:21" ht="15" thickBot="1" x14ac:dyDescent="0.4">
      <c r="K15" s="41" t="s">
        <v>153</v>
      </c>
      <c r="L15" s="48">
        <f>L12-L14</f>
        <v>2325</v>
      </c>
      <c r="M15" s="58">
        <f t="shared" ref="M15:R15" si="9">M12-M14</f>
        <v>2925</v>
      </c>
      <c r="N15" s="49">
        <f t="shared" si="9"/>
        <v>2850</v>
      </c>
      <c r="O15" s="49">
        <f t="shared" si="9"/>
        <v>2775</v>
      </c>
      <c r="P15" s="49">
        <f t="shared" si="9"/>
        <v>2700</v>
      </c>
      <c r="Q15" s="49">
        <f t="shared" si="9"/>
        <v>2625</v>
      </c>
      <c r="R15" s="49">
        <f t="shared" si="9"/>
        <v>2550</v>
      </c>
      <c r="S15" s="49">
        <f t="shared" ref="S15:U15" si="10">S12-S14</f>
        <v>2475</v>
      </c>
      <c r="T15" s="49">
        <f t="shared" si="10"/>
        <v>2400</v>
      </c>
      <c r="U15" s="50">
        <f t="shared" si="10"/>
        <v>2325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C1AC-4AC1-404D-B540-0A4988930C8F}">
  <dimension ref="A1:L14"/>
  <sheetViews>
    <sheetView showGridLines="0" workbookViewId="0">
      <selection activeCell="A15" sqref="A15"/>
    </sheetView>
  </sheetViews>
  <sheetFormatPr defaultRowHeight="14.5" x14ac:dyDescent="0.35"/>
  <cols>
    <col min="1" max="1" width="11.08984375" bestFit="1" customWidth="1"/>
    <col min="2" max="3" width="10.6328125" bestFit="1" customWidth="1"/>
    <col min="4" max="4" width="8.54296875" bestFit="1" customWidth="1"/>
    <col min="5" max="5" width="17.08984375" bestFit="1" customWidth="1"/>
    <col min="6" max="6" width="27.54296875" bestFit="1" customWidth="1"/>
    <col min="7" max="9" width="10.7265625" bestFit="1" customWidth="1"/>
    <col min="10" max="10" width="6.90625" bestFit="1" customWidth="1"/>
    <col min="11" max="11" width="11.08984375" bestFit="1" customWidth="1"/>
    <col min="12" max="12" width="47.453125" bestFit="1" customWidth="1"/>
  </cols>
  <sheetData>
    <row r="1" spans="1:12" s="9" customFormat="1" ht="29" x14ac:dyDescent="0.35">
      <c r="A1" s="96" t="s">
        <v>118</v>
      </c>
      <c r="B1" s="96" t="s">
        <v>119</v>
      </c>
      <c r="C1" s="96" t="s">
        <v>120</v>
      </c>
      <c r="D1" s="96" t="s">
        <v>121</v>
      </c>
      <c r="E1" s="96" t="s">
        <v>122</v>
      </c>
      <c r="F1" s="96" t="s">
        <v>123</v>
      </c>
      <c r="G1" s="97" t="s">
        <v>124</v>
      </c>
      <c r="H1" s="97" t="s">
        <v>125</v>
      </c>
      <c r="I1" s="97" t="s">
        <v>126</v>
      </c>
      <c r="J1" s="97" t="s">
        <v>131</v>
      </c>
      <c r="K1" s="96" t="s">
        <v>130</v>
      </c>
      <c r="L1" s="96" t="s">
        <v>127</v>
      </c>
    </row>
    <row r="2" spans="1:12" x14ac:dyDescent="0.35">
      <c r="A2" s="2">
        <v>43861</v>
      </c>
      <c r="B2" s="2">
        <v>43855</v>
      </c>
      <c r="C2" t="s">
        <v>128</v>
      </c>
      <c r="D2" s="1" t="s">
        <v>15</v>
      </c>
      <c r="E2" t="s">
        <v>16</v>
      </c>
      <c r="F2" t="s">
        <v>129</v>
      </c>
      <c r="G2" s="3">
        <v>5000</v>
      </c>
      <c r="H2" s="3"/>
      <c r="I2" s="3">
        <v>5000</v>
      </c>
      <c r="J2" s="5" t="s">
        <v>132</v>
      </c>
    </row>
    <row r="3" spans="1:12" x14ac:dyDescent="0.35">
      <c r="A3" s="2">
        <v>43871</v>
      </c>
      <c r="B3" s="2">
        <v>43871</v>
      </c>
      <c r="C3" t="s">
        <v>202</v>
      </c>
      <c r="D3" s="1" t="s">
        <v>15</v>
      </c>
      <c r="E3" t="s">
        <v>16</v>
      </c>
      <c r="F3" t="s">
        <v>204</v>
      </c>
      <c r="G3" s="3"/>
      <c r="H3" s="3">
        <v>246</v>
      </c>
      <c r="I3" s="3">
        <v>-246</v>
      </c>
      <c r="J3" s="5" t="s">
        <v>132</v>
      </c>
    </row>
    <row r="4" spans="1:12" x14ac:dyDescent="0.35">
      <c r="A4" s="2">
        <v>43898</v>
      </c>
      <c r="B4" s="2">
        <v>43898</v>
      </c>
      <c r="C4" t="s">
        <v>203</v>
      </c>
      <c r="D4" s="1" t="s">
        <v>15</v>
      </c>
      <c r="E4" t="s">
        <v>16</v>
      </c>
      <c r="F4" t="s">
        <v>205</v>
      </c>
      <c r="G4" s="3"/>
      <c r="H4" s="3">
        <v>600</v>
      </c>
      <c r="I4" s="3">
        <v>-600</v>
      </c>
      <c r="J4" s="5" t="s">
        <v>132</v>
      </c>
    </row>
    <row r="5" spans="1:12" x14ac:dyDescent="0.35">
      <c r="A5" s="2">
        <v>43921</v>
      </c>
      <c r="B5" s="2">
        <v>43921</v>
      </c>
      <c r="C5" t="s">
        <v>203</v>
      </c>
      <c r="D5" s="1" t="s">
        <v>15</v>
      </c>
      <c r="E5" t="s">
        <v>16</v>
      </c>
      <c r="F5" t="s">
        <v>206</v>
      </c>
      <c r="G5" s="3"/>
      <c r="H5" s="3">
        <v>3690</v>
      </c>
      <c r="I5" s="3">
        <v>-3690</v>
      </c>
      <c r="J5" s="5" t="s">
        <v>132</v>
      </c>
    </row>
    <row r="6" spans="1:12" x14ac:dyDescent="0.35">
      <c r="A6" s="2">
        <v>43921</v>
      </c>
      <c r="B6" s="2">
        <v>43921</v>
      </c>
      <c r="C6" t="s">
        <v>203</v>
      </c>
      <c r="D6" s="1" t="s">
        <v>15</v>
      </c>
      <c r="E6" t="s">
        <v>16</v>
      </c>
      <c r="F6" t="s">
        <v>207</v>
      </c>
      <c r="G6" s="3"/>
      <c r="H6" s="3">
        <v>50</v>
      </c>
      <c r="I6" s="3">
        <v>-50</v>
      </c>
      <c r="J6" s="5" t="s">
        <v>132</v>
      </c>
    </row>
    <row r="7" spans="1:12" x14ac:dyDescent="0.35">
      <c r="A7" s="2">
        <v>43934</v>
      </c>
      <c r="B7" s="2">
        <v>43934</v>
      </c>
      <c r="C7" t="s">
        <v>222</v>
      </c>
      <c r="D7" s="1" t="s">
        <v>15</v>
      </c>
      <c r="E7" t="s">
        <v>16</v>
      </c>
      <c r="F7" t="s">
        <v>223</v>
      </c>
      <c r="G7" s="3">
        <v>6420.6</v>
      </c>
      <c r="H7" s="3"/>
      <c r="I7" s="3">
        <v>6420.6</v>
      </c>
      <c r="J7" s="5" t="s">
        <v>132</v>
      </c>
    </row>
    <row r="8" spans="1:12" x14ac:dyDescent="0.35">
      <c r="A8" s="2">
        <v>43934</v>
      </c>
      <c r="B8" s="2">
        <v>43934</v>
      </c>
      <c r="C8" t="s">
        <v>222</v>
      </c>
      <c r="D8" s="1" t="s">
        <v>15</v>
      </c>
      <c r="E8" t="s">
        <v>16</v>
      </c>
      <c r="F8" t="s">
        <v>224</v>
      </c>
      <c r="G8" s="3"/>
      <c r="H8" s="3">
        <v>3000</v>
      </c>
      <c r="I8" s="3">
        <v>-3000</v>
      </c>
      <c r="J8" s="5" t="s">
        <v>132</v>
      </c>
    </row>
    <row r="9" spans="1:12" x14ac:dyDescent="0.35">
      <c r="A9" s="2">
        <v>43951</v>
      </c>
      <c r="B9" s="2">
        <v>43951</v>
      </c>
      <c r="C9" t="s">
        <v>222</v>
      </c>
      <c r="D9" s="1" t="s">
        <v>15</v>
      </c>
      <c r="E9" t="s">
        <v>16</v>
      </c>
      <c r="F9" t="s">
        <v>225</v>
      </c>
      <c r="G9" s="3"/>
      <c r="H9" s="3">
        <v>50</v>
      </c>
      <c r="I9" s="3">
        <v>-50</v>
      </c>
      <c r="J9" s="5" t="s">
        <v>132</v>
      </c>
    </row>
    <row r="10" spans="1:12" x14ac:dyDescent="0.35">
      <c r="A10" s="2">
        <v>43951</v>
      </c>
      <c r="B10" s="2">
        <v>43951</v>
      </c>
      <c r="C10" t="s">
        <v>222</v>
      </c>
      <c r="D10" s="1" t="s">
        <v>15</v>
      </c>
      <c r="E10" t="s">
        <v>16</v>
      </c>
      <c r="F10" t="s">
        <v>227</v>
      </c>
      <c r="G10" s="3"/>
      <c r="H10" s="3">
        <v>80</v>
      </c>
      <c r="I10" s="3">
        <v>-80</v>
      </c>
      <c r="J10" s="5" t="s">
        <v>132</v>
      </c>
    </row>
    <row r="12" spans="1:12" x14ac:dyDescent="0.35">
      <c r="I12" s="3">
        <f>SUM(I2:I11)</f>
        <v>3704.6000000000004</v>
      </c>
    </row>
    <row r="14" spans="1:12" x14ac:dyDescent="0.35">
      <c r="A14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ACF2-E609-484A-A5BF-CA05A2EDA8A5}">
  <dimension ref="A1:L6"/>
  <sheetViews>
    <sheetView showGridLines="0" workbookViewId="0">
      <selection activeCell="C19" sqref="C19"/>
    </sheetView>
  </sheetViews>
  <sheetFormatPr defaultRowHeight="14.5" x14ac:dyDescent="0.35"/>
  <cols>
    <col min="1" max="1" width="11.08984375" bestFit="1" customWidth="1"/>
    <col min="2" max="2" width="10.6328125" bestFit="1" customWidth="1"/>
    <col min="3" max="3" width="12.90625" bestFit="1" customWidth="1"/>
    <col min="4" max="4" width="8.54296875" bestFit="1" customWidth="1"/>
    <col min="5" max="5" width="22.453125" bestFit="1" customWidth="1"/>
    <col min="6" max="6" width="24" bestFit="1" customWidth="1"/>
    <col min="7" max="9" width="10.7265625" bestFit="1" customWidth="1"/>
    <col min="10" max="10" width="6.90625" bestFit="1" customWidth="1"/>
    <col min="11" max="11" width="11.08984375" bestFit="1" customWidth="1"/>
    <col min="12" max="12" width="16.1796875" bestFit="1" customWidth="1"/>
  </cols>
  <sheetData>
    <row r="1" spans="1:12" s="9" customFormat="1" ht="29" x14ac:dyDescent="0.35">
      <c r="A1" s="96" t="s">
        <v>118</v>
      </c>
      <c r="B1" s="96" t="s">
        <v>119</v>
      </c>
      <c r="C1" s="96" t="s">
        <v>120</v>
      </c>
      <c r="D1" s="96" t="s">
        <v>121</v>
      </c>
      <c r="E1" s="96" t="s">
        <v>122</v>
      </c>
      <c r="F1" s="96" t="s">
        <v>123</v>
      </c>
      <c r="G1" s="97" t="s">
        <v>124</v>
      </c>
      <c r="H1" s="97" t="s">
        <v>125</v>
      </c>
      <c r="I1" s="97" t="s">
        <v>126</v>
      </c>
      <c r="J1" s="97" t="s">
        <v>131</v>
      </c>
      <c r="K1" s="96" t="s">
        <v>130</v>
      </c>
      <c r="L1" s="96" t="s">
        <v>127</v>
      </c>
    </row>
    <row r="2" spans="1:12" x14ac:dyDescent="0.35">
      <c r="A2" s="2">
        <v>43914</v>
      </c>
      <c r="B2" s="2">
        <v>43914</v>
      </c>
      <c r="C2" t="s">
        <v>186</v>
      </c>
      <c r="D2" s="1" t="s">
        <v>21</v>
      </c>
      <c r="E2" t="s">
        <v>22</v>
      </c>
      <c r="F2" t="s">
        <v>187</v>
      </c>
      <c r="G2" s="3">
        <v>6420.6</v>
      </c>
      <c r="H2" s="3"/>
      <c r="I2" s="100">
        <v>6420.6</v>
      </c>
      <c r="J2" s="5" t="s">
        <v>132</v>
      </c>
      <c r="L2" t="s">
        <v>188</v>
      </c>
    </row>
    <row r="3" spans="1:12" x14ac:dyDescent="0.35">
      <c r="A3" s="2">
        <v>43934</v>
      </c>
      <c r="B3" s="2">
        <v>43934</v>
      </c>
      <c r="C3" t="s">
        <v>222</v>
      </c>
      <c r="D3" s="1" t="s">
        <v>21</v>
      </c>
      <c r="E3" t="s">
        <v>22</v>
      </c>
      <c r="F3" t="s">
        <v>223</v>
      </c>
      <c r="G3" s="3"/>
      <c r="H3" s="3">
        <v>6420.6</v>
      </c>
      <c r="I3" s="100">
        <v>-6420.6</v>
      </c>
      <c r="J3" s="5" t="s">
        <v>132</v>
      </c>
    </row>
    <row r="5" spans="1:12" x14ac:dyDescent="0.35">
      <c r="I5" s="3">
        <f>SUM(I2:I4)</f>
        <v>0</v>
      </c>
    </row>
    <row r="6" spans="1:12" x14ac:dyDescent="0.35">
      <c r="I6" s="44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B5A6-8CBA-445E-915D-9015B277300B}">
  <dimension ref="A1:L21"/>
  <sheetViews>
    <sheetView showGridLines="0" topLeftCell="A10" workbookViewId="0">
      <selection activeCell="E22" sqref="E22"/>
    </sheetView>
  </sheetViews>
  <sheetFormatPr defaultRowHeight="14.5" x14ac:dyDescent="0.35"/>
  <cols>
    <col min="1" max="1" width="11.08984375" bestFit="1" customWidth="1"/>
    <col min="2" max="2" width="11.90625" bestFit="1" customWidth="1"/>
    <col min="3" max="3" width="13.81640625" customWidth="1"/>
    <col min="4" max="4" width="17" customWidth="1"/>
    <col min="5" max="5" width="23" bestFit="1" customWidth="1"/>
    <col min="6" max="6" width="29.54296875" bestFit="1" customWidth="1"/>
    <col min="7" max="9" width="10.7265625" bestFit="1" customWidth="1"/>
    <col min="10" max="10" width="6.90625" bestFit="1" customWidth="1"/>
    <col min="11" max="11" width="11.08984375" bestFit="1" customWidth="1"/>
    <col min="12" max="12" width="12.08984375" customWidth="1"/>
    <col min="13" max="16384" width="8.7265625" style="106"/>
  </cols>
  <sheetData>
    <row r="1" spans="1:12" s="105" customFormat="1" ht="29" x14ac:dyDescent="0.35">
      <c r="A1" s="96" t="s">
        <v>118</v>
      </c>
      <c r="B1" s="96" t="s">
        <v>119</v>
      </c>
      <c r="C1" s="96" t="s">
        <v>120</v>
      </c>
      <c r="D1" s="96" t="s">
        <v>121</v>
      </c>
      <c r="E1" s="96" t="s">
        <v>122</v>
      </c>
      <c r="F1" s="96" t="s">
        <v>123</v>
      </c>
      <c r="G1" s="97" t="s">
        <v>124</v>
      </c>
      <c r="H1" s="97" t="s">
        <v>125</v>
      </c>
      <c r="I1" s="97" t="s">
        <v>126</v>
      </c>
      <c r="J1" s="97" t="s">
        <v>131</v>
      </c>
      <c r="K1" s="96" t="s">
        <v>130</v>
      </c>
      <c r="L1" s="96" t="s">
        <v>127</v>
      </c>
    </row>
    <row r="2" spans="1:12" x14ac:dyDescent="0.35">
      <c r="A2" s="102">
        <v>43866</v>
      </c>
      <c r="B2" s="102">
        <v>43866</v>
      </c>
      <c r="C2" s="103" t="s">
        <v>133</v>
      </c>
      <c r="D2" s="103" t="s">
        <v>23</v>
      </c>
      <c r="E2" s="103" t="s">
        <v>24</v>
      </c>
      <c r="F2" s="103" t="s">
        <v>134</v>
      </c>
      <c r="G2" s="100"/>
      <c r="H2" s="100">
        <v>246</v>
      </c>
      <c r="I2" s="100">
        <v>-246</v>
      </c>
      <c r="J2" s="104" t="s">
        <v>132</v>
      </c>
      <c r="K2" s="103"/>
      <c r="L2" s="103"/>
    </row>
    <row r="3" spans="1:12" x14ac:dyDescent="0.35">
      <c r="A3" s="102">
        <v>43871</v>
      </c>
      <c r="B3" s="102">
        <v>43871</v>
      </c>
      <c r="C3" s="103" t="s">
        <v>202</v>
      </c>
      <c r="D3" s="103" t="s">
        <v>23</v>
      </c>
      <c r="E3" s="103" t="s">
        <v>24</v>
      </c>
      <c r="F3" s="103" t="s">
        <v>204</v>
      </c>
      <c r="G3" s="100">
        <v>246</v>
      </c>
      <c r="H3" s="100"/>
      <c r="I3" s="100">
        <v>246</v>
      </c>
      <c r="J3" s="104" t="s">
        <v>132</v>
      </c>
      <c r="K3" s="103"/>
      <c r="L3" s="103"/>
    </row>
    <row r="4" spans="1:12" x14ac:dyDescent="0.35">
      <c r="A4" s="102">
        <v>43889</v>
      </c>
      <c r="B4" s="102">
        <v>43889</v>
      </c>
      <c r="C4" s="103" t="s">
        <v>137</v>
      </c>
      <c r="D4" s="103" t="s">
        <v>23</v>
      </c>
      <c r="E4" s="103" t="s">
        <v>24</v>
      </c>
      <c r="F4" s="103" t="s">
        <v>138</v>
      </c>
      <c r="G4" s="100"/>
      <c r="H4" s="100">
        <v>600</v>
      </c>
      <c r="I4" s="100">
        <v>-600</v>
      </c>
      <c r="J4" s="104" t="s">
        <v>132</v>
      </c>
      <c r="K4" s="103"/>
      <c r="L4" s="103"/>
    </row>
    <row r="5" spans="1:12" x14ac:dyDescent="0.35">
      <c r="A5" s="102">
        <v>43891</v>
      </c>
      <c r="B5" s="102">
        <v>43891</v>
      </c>
      <c r="C5" s="103" t="s">
        <v>157</v>
      </c>
      <c r="D5" s="103" t="s">
        <v>23</v>
      </c>
      <c r="E5" s="103" t="s">
        <v>24</v>
      </c>
      <c r="F5" s="103" t="s">
        <v>158</v>
      </c>
      <c r="G5" s="100"/>
      <c r="H5" s="100">
        <v>3690</v>
      </c>
      <c r="I5" s="100">
        <v>-3690</v>
      </c>
      <c r="J5" s="104" t="s">
        <v>132</v>
      </c>
      <c r="K5" s="103"/>
      <c r="L5" s="103"/>
    </row>
    <row r="6" spans="1:12" x14ac:dyDescent="0.35">
      <c r="A6" s="102">
        <v>43898</v>
      </c>
      <c r="B6" s="102">
        <v>43898</v>
      </c>
      <c r="C6" s="103" t="s">
        <v>203</v>
      </c>
      <c r="D6" s="103" t="s">
        <v>23</v>
      </c>
      <c r="E6" s="103" t="s">
        <v>24</v>
      </c>
      <c r="F6" s="103" t="s">
        <v>205</v>
      </c>
      <c r="G6" s="100">
        <v>600</v>
      </c>
      <c r="H6" s="100"/>
      <c r="I6" s="100">
        <v>600</v>
      </c>
      <c r="J6" s="104" t="s">
        <v>132</v>
      </c>
      <c r="K6" s="103"/>
      <c r="L6" s="103"/>
    </row>
    <row r="7" spans="1:12" x14ac:dyDescent="0.35">
      <c r="A7" s="2">
        <v>43905</v>
      </c>
      <c r="B7" s="2">
        <v>43905</v>
      </c>
      <c r="C7" t="s">
        <v>182</v>
      </c>
      <c r="D7" t="s">
        <v>23</v>
      </c>
      <c r="E7" t="s">
        <v>24</v>
      </c>
      <c r="F7" t="s">
        <v>183</v>
      </c>
      <c r="G7" s="3"/>
      <c r="H7" s="3">
        <v>7134</v>
      </c>
      <c r="I7" s="101">
        <v>-7134</v>
      </c>
      <c r="J7" s="5" t="s">
        <v>132</v>
      </c>
    </row>
    <row r="8" spans="1:12" x14ac:dyDescent="0.35">
      <c r="A8" s="102">
        <v>43921</v>
      </c>
      <c r="B8" s="102">
        <v>43921</v>
      </c>
      <c r="C8" s="103" t="s">
        <v>203</v>
      </c>
      <c r="D8" s="103" t="s">
        <v>23</v>
      </c>
      <c r="E8" s="103" t="s">
        <v>24</v>
      </c>
      <c r="F8" s="103" t="s">
        <v>206</v>
      </c>
      <c r="G8" s="100">
        <v>3690</v>
      </c>
      <c r="H8" s="100"/>
      <c r="I8" s="100">
        <v>3690</v>
      </c>
      <c r="J8" s="104" t="s">
        <v>132</v>
      </c>
      <c r="K8" s="103"/>
      <c r="L8" s="103"/>
    </row>
    <row r="9" spans="1:12" x14ac:dyDescent="0.35">
      <c r="A9" s="2">
        <v>43921</v>
      </c>
      <c r="B9" s="2">
        <v>43895</v>
      </c>
      <c r="C9" t="s">
        <v>193</v>
      </c>
      <c r="D9" t="s">
        <v>23</v>
      </c>
      <c r="E9" t="s">
        <v>24</v>
      </c>
      <c r="F9" t="s">
        <v>194</v>
      </c>
      <c r="G9" s="3"/>
      <c r="H9" s="3">
        <v>246</v>
      </c>
      <c r="I9" s="101">
        <v>-246</v>
      </c>
      <c r="J9" s="5" t="s">
        <v>132</v>
      </c>
    </row>
    <row r="10" spans="1:12" x14ac:dyDescent="0.35">
      <c r="A10" s="2">
        <v>43931</v>
      </c>
      <c r="B10" s="2">
        <v>43926</v>
      </c>
      <c r="C10" t="s">
        <v>220</v>
      </c>
      <c r="D10" t="s">
        <v>23</v>
      </c>
      <c r="E10" t="s">
        <v>24</v>
      </c>
      <c r="F10" t="s">
        <v>219</v>
      </c>
      <c r="G10" s="3"/>
      <c r="H10" s="3">
        <v>369</v>
      </c>
      <c r="I10" s="101">
        <v>-369</v>
      </c>
      <c r="J10" s="5" t="s">
        <v>132</v>
      </c>
    </row>
    <row r="11" spans="1:12" x14ac:dyDescent="0.35">
      <c r="A11" s="2">
        <v>43934</v>
      </c>
      <c r="B11" s="2">
        <v>43934</v>
      </c>
      <c r="C11" t="s">
        <v>222</v>
      </c>
      <c r="D11" t="s">
        <v>23</v>
      </c>
      <c r="E11" t="s">
        <v>24</v>
      </c>
      <c r="F11" t="s">
        <v>224</v>
      </c>
      <c r="G11" s="3">
        <v>3000</v>
      </c>
      <c r="H11" s="3"/>
      <c r="I11" s="101">
        <v>3000</v>
      </c>
      <c r="J11" s="5" t="s">
        <v>132</v>
      </c>
    </row>
    <row r="13" spans="1:12" x14ac:dyDescent="0.35">
      <c r="I13" s="101">
        <f>SUM(I2:I12)</f>
        <v>-4749</v>
      </c>
    </row>
    <row r="15" spans="1:12" x14ac:dyDescent="0.35">
      <c r="A15" t="s">
        <v>244</v>
      </c>
    </row>
    <row r="16" spans="1:12" x14ac:dyDescent="0.35">
      <c r="A16" t="s">
        <v>245</v>
      </c>
    </row>
    <row r="18" spans="2:12" s="107" customFormat="1" x14ac:dyDescent="0.35">
      <c r="B18" s="9" t="s">
        <v>246</v>
      </c>
      <c r="C18" s="9" t="s">
        <v>247</v>
      </c>
      <c r="D18" s="9" t="s">
        <v>248</v>
      </c>
      <c r="E18" s="9" t="s">
        <v>249</v>
      </c>
      <c r="F18" s="8"/>
      <c r="G18" s="8"/>
      <c r="H18" s="8"/>
      <c r="I18" s="8"/>
      <c r="J18" s="8"/>
      <c r="K18" s="8"/>
      <c r="L18" s="8"/>
    </row>
    <row r="19" spans="2:12" x14ac:dyDescent="0.35">
      <c r="B19" t="s">
        <v>182</v>
      </c>
      <c r="C19" s="2">
        <f>B7</f>
        <v>43905</v>
      </c>
      <c r="D19" s="2">
        <f>C19+14</f>
        <v>43919</v>
      </c>
      <c r="E19" s="85">
        <f>DATE(2020,4,30)-D19</f>
        <v>32</v>
      </c>
    </row>
    <row r="20" spans="2:12" x14ac:dyDescent="0.35">
      <c r="B20" t="s">
        <v>193</v>
      </c>
      <c r="C20" s="2">
        <f>B9</f>
        <v>43895</v>
      </c>
      <c r="D20" s="2">
        <f t="shared" ref="D20:D21" si="0">C20+14</f>
        <v>43909</v>
      </c>
      <c r="E20" s="85">
        <f t="shared" ref="E20:E21" si="1">DATE(2020,4,30)-D20</f>
        <v>42</v>
      </c>
    </row>
    <row r="21" spans="2:12" x14ac:dyDescent="0.35">
      <c r="B21" t="s">
        <v>220</v>
      </c>
      <c r="C21" s="2">
        <f>B10</f>
        <v>43926</v>
      </c>
      <c r="D21" s="2">
        <f t="shared" si="0"/>
        <v>43940</v>
      </c>
      <c r="E21" s="85">
        <f t="shared" si="1"/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674F-1F1E-40B5-9701-E1EEE41C37D1}">
  <dimension ref="A1:L22"/>
  <sheetViews>
    <sheetView showGridLines="0" topLeftCell="A13" workbookViewId="0">
      <selection activeCell="G21" sqref="G21"/>
    </sheetView>
  </sheetViews>
  <sheetFormatPr defaultRowHeight="14.5" x14ac:dyDescent="0.35"/>
  <cols>
    <col min="1" max="1" width="12.36328125" bestFit="1" customWidth="1"/>
    <col min="2" max="2" width="41.08984375" bestFit="1" customWidth="1"/>
    <col min="3" max="3" width="15.26953125" bestFit="1" customWidth="1"/>
    <col min="4" max="4" width="8.54296875" bestFit="1" customWidth="1"/>
    <col min="5" max="5" width="41.08984375" bestFit="1" customWidth="1"/>
    <col min="6" max="6" width="24" bestFit="1" customWidth="1"/>
    <col min="7" max="9" width="10.7265625" bestFit="1" customWidth="1"/>
    <col min="10" max="10" width="6.90625" bestFit="1" customWidth="1"/>
    <col min="11" max="11" width="11.08984375" bestFit="1" customWidth="1"/>
    <col min="12" max="12" width="16.1796875" bestFit="1" customWidth="1"/>
    <col min="13" max="13" width="12.453125" bestFit="1" customWidth="1"/>
  </cols>
  <sheetData>
    <row r="1" spans="1:12" s="9" customFormat="1" ht="29" x14ac:dyDescent="0.35">
      <c r="A1" s="96" t="s">
        <v>118</v>
      </c>
      <c r="B1" s="96" t="s">
        <v>119</v>
      </c>
      <c r="C1" s="96" t="s">
        <v>120</v>
      </c>
      <c r="D1" s="96" t="s">
        <v>121</v>
      </c>
      <c r="E1" s="96" t="s">
        <v>122</v>
      </c>
      <c r="F1" s="96" t="s">
        <v>123</v>
      </c>
      <c r="G1" s="97" t="s">
        <v>124</v>
      </c>
      <c r="H1" s="97" t="s">
        <v>125</v>
      </c>
      <c r="I1" s="97" t="s">
        <v>126</v>
      </c>
      <c r="J1" s="97" t="s">
        <v>131</v>
      </c>
      <c r="K1" s="96" t="s">
        <v>130</v>
      </c>
      <c r="L1" s="96" t="s">
        <v>127</v>
      </c>
    </row>
    <row r="2" spans="1:12" x14ac:dyDescent="0.35">
      <c r="A2" s="2">
        <v>43866</v>
      </c>
      <c r="B2" s="2">
        <v>43866</v>
      </c>
      <c r="C2" t="s">
        <v>133</v>
      </c>
      <c r="D2" t="s">
        <v>27</v>
      </c>
      <c r="E2" t="s">
        <v>28</v>
      </c>
      <c r="F2" t="s">
        <v>134</v>
      </c>
      <c r="G2" s="3">
        <v>46</v>
      </c>
      <c r="H2" s="3"/>
      <c r="I2" s="3">
        <v>46</v>
      </c>
      <c r="J2" s="5" t="s">
        <v>132</v>
      </c>
    </row>
    <row r="3" spans="1:12" x14ac:dyDescent="0.35">
      <c r="A3" s="2">
        <v>43889</v>
      </c>
      <c r="B3" s="2">
        <v>43889</v>
      </c>
      <c r="C3" t="s">
        <v>155</v>
      </c>
      <c r="D3" t="s">
        <v>27</v>
      </c>
      <c r="E3" t="s">
        <v>28</v>
      </c>
      <c r="F3" t="s">
        <v>156</v>
      </c>
      <c r="G3" s="3"/>
      <c r="H3" s="3">
        <v>46</v>
      </c>
      <c r="I3" s="3">
        <v>-46</v>
      </c>
      <c r="J3" s="5" t="s">
        <v>132</v>
      </c>
    </row>
    <row r="4" spans="1:12" x14ac:dyDescent="0.35">
      <c r="A4" s="2">
        <v>43889</v>
      </c>
      <c r="B4" s="2">
        <v>43889</v>
      </c>
      <c r="C4" t="s">
        <v>155</v>
      </c>
      <c r="D4" s="1" t="s">
        <v>29</v>
      </c>
      <c r="E4" t="s">
        <v>30</v>
      </c>
      <c r="F4" t="s">
        <v>156</v>
      </c>
      <c r="G4" s="3">
        <v>46</v>
      </c>
      <c r="H4" s="3"/>
      <c r="I4" s="3">
        <v>46</v>
      </c>
      <c r="J4" s="5" t="s">
        <v>132</v>
      </c>
    </row>
    <row r="5" spans="1:12" x14ac:dyDescent="0.35">
      <c r="A5" s="2">
        <v>43891</v>
      </c>
      <c r="B5" s="2">
        <v>43891</v>
      </c>
      <c r="C5" t="s">
        <v>157</v>
      </c>
      <c r="D5" t="s">
        <v>27</v>
      </c>
      <c r="E5" t="s">
        <v>28</v>
      </c>
      <c r="F5" t="s">
        <v>158</v>
      </c>
      <c r="G5" s="3">
        <v>690</v>
      </c>
      <c r="H5" s="3"/>
      <c r="I5" s="3">
        <v>690</v>
      </c>
      <c r="J5" s="5" t="s">
        <v>132</v>
      </c>
    </row>
    <row r="6" spans="1:12" x14ac:dyDescent="0.35">
      <c r="A6" s="2">
        <v>43905</v>
      </c>
      <c r="B6" s="2">
        <v>43905</v>
      </c>
      <c r="C6" t="s">
        <v>182</v>
      </c>
      <c r="D6" t="s">
        <v>27</v>
      </c>
      <c r="E6" t="s">
        <v>28</v>
      </c>
      <c r="F6" t="s">
        <v>183</v>
      </c>
      <c r="G6" s="3">
        <v>1334</v>
      </c>
      <c r="H6" s="3"/>
      <c r="I6" s="3">
        <v>1334</v>
      </c>
      <c r="J6" s="5" t="s">
        <v>132</v>
      </c>
    </row>
    <row r="7" spans="1:12" x14ac:dyDescent="0.35">
      <c r="A7" s="2">
        <v>43914</v>
      </c>
      <c r="B7" s="2">
        <v>43914</v>
      </c>
      <c r="C7" t="s">
        <v>186</v>
      </c>
      <c r="D7" s="1" t="s">
        <v>25</v>
      </c>
      <c r="E7" t="s">
        <v>26</v>
      </c>
      <c r="F7" t="s">
        <v>187</v>
      </c>
      <c r="G7" s="3"/>
      <c r="H7" s="3">
        <v>1200.6000000000001</v>
      </c>
      <c r="I7" s="3">
        <v>-1200.6000000000001</v>
      </c>
      <c r="J7" s="5" t="s">
        <v>132</v>
      </c>
      <c r="L7" t="s">
        <v>188</v>
      </c>
    </row>
    <row r="8" spans="1:12" x14ac:dyDescent="0.35">
      <c r="A8" s="2">
        <v>43921</v>
      </c>
      <c r="B8" s="2">
        <v>43895</v>
      </c>
      <c r="C8" t="s">
        <v>193</v>
      </c>
      <c r="D8" t="s">
        <v>27</v>
      </c>
      <c r="E8" t="s">
        <v>28</v>
      </c>
      <c r="F8" t="s">
        <v>194</v>
      </c>
      <c r="G8" s="3">
        <v>46</v>
      </c>
      <c r="H8" s="3"/>
      <c r="I8" s="3">
        <v>46</v>
      </c>
      <c r="J8" s="5" t="s">
        <v>132</v>
      </c>
    </row>
    <row r="9" spans="1:12" x14ac:dyDescent="0.35">
      <c r="A9" s="2">
        <v>43921</v>
      </c>
      <c r="B9" s="2">
        <v>43921</v>
      </c>
      <c r="C9" t="s">
        <v>195</v>
      </c>
      <c r="D9" t="s">
        <v>27</v>
      </c>
      <c r="E9" t="s">
        <v>28</v>
      </c>
      <c r="F9" t="s">
        <v>199</v>
      </c>
      <c r="G9" s="3"/>
      <c r="H9" s="3">
        <v>2070</v>
      </c>
      <c r="I9" s="3">
        <v>-2070</v>
      </c>
      <c r="J9" s="5" t="s">
        <v>132</v>
      </c>
    </row>
    <row r="10" spans="1:12" x14ac:dyDescent="0.35">
      <c r="A10" s="2">
        <v>43921</v>
      </c>
      <c r="B10" s="2">
        <v>43921</v>
      </c>
      <c r="C10" t="s">
        <v>195</v>
      </c>
      <c r="D10" s="1" t="s">
        <v>25</v>
      </c>
      <c r="E10" t="s">
        <v>26</v>
      </c>
      <c r="F10" t="s">
        <v>199</v>
      </c>
      <c r="G10" s="3">
        <v>1200.5999999999999</v>
      </c>
      <c r="H10" s="3"/>
      <c r="I10" s="3">
        <v>1200.5999999999999</v>
      </c>
      <c r="J10" s="5" t="s">
        <v>132</v>
      </c>
    </row>
    <row r="11" spans="1:12" x14ac:dyDescent="0.35">
      <c r="A11" s="2">
        <v>43921</v>
      </c>
      <c r="B11" s="2">
        <v>43921</v>
      </c>
      <c r="C11" t="s">
        <v>195</v>
      </c>
      <c r="D11" s="1" t="s">
        <v>29</v>
      </c>
      <c r="E11" t="s">
        <v>30</v>
      </c>
      <c r="F11" t="s">
        <v>199</v>
      </c>
      <c r="G11" s="3">
        <v>869</v>
      </c>
      <c r="H11" s="3"/>
      <c r="I11" s="3">
        <v>869</v>
      </c>
      <c r="J11" s="5" t="s">
        <v>132</v>
      </c>
    </row>
    <row r="12" spans="1:12" x14ac:dyDescent="0.35">
      <c r="A12" s="2">
        <v>43931</v>
      </c>
      <c r="B12" s="2">
        <v>43926</v>
      </c>
      <c r="C12" t="s">
        <v>220</v>
      </c>
      <c r="D12" t="s">
        <v>27</v>
      </c>
      <c r="E12" t="s">
        <v>28</v>
      </c>
      <c r="F12" t="s">
        <v>219</v>
      </c>
      <c r="G12" s="3">
        <v>69</v>
      </c>
      <c r="H12" s="3"/>
      <c r="I12" s="3">
        <v>69</v>
      </c>
      <c r="J12" s="5" t="s">
        <v>132</v>
      </c>
    </row>
    <row r="13" spans="1:12" x14ac:dyDescent="0.35">
      <c r="A13" s="2">
        <v>43951</v>
      </c>
      <c r="B13" s="2">
        <v>43951</v>
      </c>
      <c r="C13" t="s">
        <v>228</v>
      </c>
      <c r="D13" t="s">
        <v>27</v>
      </c>
      <c r="E13" t="s">
        <v>28</v>
      </c>
      <c r="F13" t="s">
        <v>229</v>
      </c>
      <c r="G13" s="3"/>
      <c r="H13" s="3">
        <v>69</v>
      </c>
      <c r="I13" s="3">
        <v>-69</v>
      </c>
      <c r="J13" s="5" t="s">
        <v>132</v>
      </c>
    </row>
    <row r="14" spans="1:12" x14ac:dyDescent="0.35">
      <c r="A14" s="2">
        <v>43951</v>
      </c>
      <c r="B14" s="2">
        <v>43951</v>
      </c>
      <c r="C14" t="s">
        <v>228</v>
      </c>
      <c r="D14" s="1" t="s">
        <v>29</v>
      </c>
      <c r="E14" t="s">
        <v>30</v>
      </c>
      <c r="F14" t="s">
        <v>229</v>
      </c>
      <c r="G14" s="3">
        <v>69</v>
      </c>
      <c r="H14" s="3"/>
      <c r="I14" s="3">
        <v>69</v>
      </c>
      <c r="J14" s="5" t="s">
        <v>132</v>
      </c>
    </row>
    <row r="17" spans="1:7" x14ac:dyDescent="0.35">
      <c r="A17" s="83" t="s">
        <v>198</v>
      </c>
      <c r="C17" s="83" t="s">
        <v>208</v>
      </c>
    </row>
    <row r="18" spans="1:7" x14ac:dyDescent="0.35">
      <c r="A18" s="83" t="s">
        <v>196</v>
      </c>
      <c r="B18" s="83" t="s">
        <v>122</v>
      </c>
      <c r="C18" s="86" t="s">
        <v>209</v>
      </c>
      <c r="D18" s="86" t="s">
        <v>210</v>
      </c>
      <c r="E18" s="86" t="s">
        <v>211</v>
      </c>
      <c r="F18" s="86" t="s">
        <v>197</v>
      </c>
    </row>
    <row r="19" spans="1:7" x14ac:dyDescent="0.35">
      <c r="A19" s="84" t="s">
        <v>25</v>
      </c>
      <c r="B19" s="84" t="s">
        <v>26</v>
      </c>
      <c r="C19" s="86"/>
      <c r="D19" s="86">
        <v>-2.2737367544323206E-13</v>
      </c>
      <c r="E19" s="86"/>
      <c r="F19" s="86">
        <v>-2.2737367544323206E-13</v>
      </c>
    </row>
    <row r="20" spans="1:7" x14ac:dyDescent="0.35">
      <c r="A20" s="84" t="s">
        <v>27</v>
      </c>
      <c r="B20" s="84" t="s">
        <v>28</v>
      </c>
      <c r="C20" s="86">
        <v>0</v>
      </c>
      <c r="D20" s="86">
        <v>0</v>
      </c>
      <c r="E20" s="86">
        <v>0</v>
      </c>
      <c r="F20" s="86">
        <v>0</v>
      </c>
    </row>
    <row r="21" spans="1:7" x14ac:dyDescent="0.35">
      <c r="A21" s="84" t="s">
        <v>29</v>
      </c>
      <c r="B21" s="84" t="s">
        <v>30</v>
      </c>
      <c r="C21" s="86">
        <v>46</v>
      </c>
      <c r="D21" s="86">
        <v>869</v>
      </c>
      <c r="E21" s="86">
        <v>69</v>
      </c>
      <c r="F21" s="86">
        <v>984</v>
      </c>
      <c r="G21" s="108" t="s">
        <v>250</v>
      </c>
    </row>
    <row r="22" spans="1:7" x14ac:dyDescent="0.35">
      <c r="A22" s="84" t="s">
        <v>197</v>
      </c>
      <c r="C22" s="86">
        <v>46</v>
      </c>
      <c r="D22" s="86">
        <v>868.99999999999977</v>
      </c>
      <c r="E22" s="86">
        <v>69</v>
      </c>
      <c r="F22" s="86">
        <v>983.99999999999977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F416B-3FB7-468B-B525-28749A7167CE}">
  <dimension ref="A1:L21"/>
  <sheetViews>
    <sheetView showGridLines="0" topLeftCell="A7" workbookViewId="0">
      <selection activeCell="I21" sqref="I21"/>
    </sheetView>
  </sheetViews>
  <sheetFormatPr defaultRowHeight="14.5" x14ac:dyDescent="0.35"/>
  <cols>
    <col min="1" max="1" width="11.08984375" bestFit="1" customWidth="1"/>
    <col min="2" max="2" width="10.6328125" bestFit="1" customWidth="1"/>
    <col min="3" max="3" width="12.90625" bestFit="1" customWidth="1"/>
    <col min="4" max="4" width="8.54296875" bestFit="1" customWidth="1"/>
    <col min="5" max="5" width="50.1796875" bestFit="1" customWidth="1"/>
    <col min="6" max="6" width="24" bestFit="1" customWidth="1"/>
    <col min="7" max="7" width="23.6328125" bestFit="1" customWidth="1"/>
    <col min="8" max="9" width="10.7265625" bestFit="1" customWidth="1"/>
    <col min="10" max="10" width="6.90625" bestFit="1" customWidth="1"/>
    <col min="11" max="11" width="11.08984375" bestFit="1" customWidth="1"/>
    <col min="12" max="12" width="16.1796875" bestFit="1" customWidth="1"/>
  </cols>
  <sheetData>
    <row r="1" spans="1:12" s="9" customFormat="1" ht="29" x14ac:dyDescent="0.35">
      <c r="A1" s="9" t="s">
        <v>118</v>
      </c>
      <c r="B1" s="9" t="s">
        <v>119</v>
      </c>
      <c r="C1" s="9" t="s">
        <v>120</v>
      </c>
      <c r="D1" s="9" t="s">
        <v>121</v>
      </c>
      <c r="E1" s="9" t="s">
        <v>122</v>
      </c>
      <c r="F1" s="9" t="s">
        <v>123</v>
      </c>
      <c r="G1" s="10" t="s">
        <v>124</v>
      </c>
      <c r="H1" s="10" t="s">
        <v>125</v>
      </c>
      <c r="I1" s="10" t="s">
        <v>126</v>
      </c>
      <c r="J1" s="10" t="s">
        <v>131</v>
      </c>
      <c r="K1" s="9" t="s">
        <v>130</v>
      </c>
      <c r="L1" s="9" t="s">
        <v>127</v>
      </c>
    </row>
    <row r="2" spans="1:12" x14ac:dyDescent="0.35">
      <c r="A2" s="2">
        <v>43866</v>
      </c>
      <c r="B2" s="2">
        <v>43866</v>
      </c>
      <c r="C2" t="s">
        <v>133</v>
      </c>
      <c r="D2" t="s">
        <v>59</v>
      </c>
      <c r="E2" t="s">
        <v>63</v>
      </c>
      <c r="F2" t="s">
        <v>134</v>
      </c>
      <c r="G2" s="3">
        <v>200</v>
      </c>
      <c r="H2" s="3"/>
      <c r="I2" s="3">
        <v>200</v>
      </c>
      <c r="J2" s="5" t="s">
        <v>136</v>
      </c>
      <c r="K2" t="s">
        <v>135</v>
      </c>
    </row>
    <row r="3" spans="1:12" x14ac:dyDescent="0.35">
      <c r="A3" s="2">
        <v>43914</v>
      </c>
      <c r="B3" s="2">
        <v>43914</v>
      </c>
      <c r="C3" t="s">
        <v>186</v>
      </c>
      <c r="D3" t="s">
        <v>91</v>
      </c>
      <c r="E3" t="s">
        <v>94</v>
      </c>
      <c r="F3" t="s">
        <v>187</v>
      </c>
      <c r="G3" s="3"/>
      <c r="H3" s="3">
        <v>5220</v>
      </c>
      <c r="I3" s="3">
        <v>-5220</v>
      </c>
      <c r="J3" s="5" t="s">
        <v>136</v>
      </c>
      <c r="L3" t="s">
        <v>188</v>
      </c>
    </row>
    <row r="4" spans="1:12" x14ac:dyDescent="0.35">
      <c r="A4" s="2">
        <v>43915</v>
      </c>
      <c r="B4" s="2">
        <v>43915</v>
      </c>
      <c r="C4" t="s">
        <v>189</v>
      </c>
      <c r="D4" t="s">
        <v>92</v>
      </c>
      <c r="E4" t="s">
        <v>95</v>
      </c>
      <c r="F4" t="s">
        <v>190</v>
      </c>
      <c r="G4" s="3">
        <v>4350</v>
      </c>
      <c r="H4" s="3"/>
      <c r="I4" s="3">
        <v>4350</v>
      </c>
      <c r="J4" s="5" t="s">
        <v>136</v>
      </c>
      <c r="K4" t="s">
        <v>135</v>
      </c>
      <c r="L4" t="s">
        <v>191</v>
      </c>
    </row>
    <row r="5" spans="1:12" x14ac:dyDescent="0.35">
      <c r="A5" s="2">
        <v>43921</v>
      </c>
      <c r="B5" s="2">
        <v>43895</v>
      </c>
      <c r="C5" t="s">
        <v>193</v>
      </c>
      <c r="D5" t="s">
        <v>59</v>
      </c>
      <c r="E5" t="s">
        <v>63</v>
      </c>
      <c r="F5" t="s">
        <v>194</v>
      </c>
      <c r="G5" s="3">
        <v>200</v>
      </c>
      <c r="H5" s="3"/>
      <c r="I5" s="3">
        <v>200</v>
      </c>
      <c r="J5" s="5" t="s">
        <v>136</v>
      </c>
      <c r="K5" t="s">
        <v>135</v>
      </c>
    </row>
    <row r="6" spans="1:12" x14ac:dyDescent="0.35">
      <c r="A6" s="2">
        <v>43921</v>
      </c>
      <c r="B6" s="2">
        <v>43921</v>
      </c>
      <c r="C6" t="s">
        <v>195</v>
      </c>
      <c r="D6" t="s">
        <v>99</v>
      </c>
      <c r="E6" t="s">
        <v>100</v>
      </c>
      <c r="F6" t="s">
        <v>199</v>
      </c>
      <c r="G6" s="3">
        <v>0.4</v>
      </c>
      <c r="H6" s="3"/>
      <c r="I6" s="3">
        <v>0.4</v>
      </c>
      <c r="J6" s="5" t="s">
        <v>136</v>
      </c>
      <c r="K6" t="s">
        <v>135</v>
      </c>
    </row>
    <row r="7" spans="1:12" x14ac:dyDescent="0.35">
      <c r="A7" s="2">
        <v>43921</v>
      </c>
      <c r="B7" s="2">
        <v>43921</v>
      </c>
      <c r="C7" t="s">
        <v>203</v>
      </c>
      <c r="D7" t="s">
        <v>59</v>
      </c>
      <c r="E7" t="s">
        <v>63</v>
      </c>
      <c r="F7" t="s">
        <v>207</v>
      </c>
      <c r="G7" s="3">
        <v>50</v>
      </c>
      <c r="H7" s="3"/>
      <c r="I7" s="3">
        <v>50</v>
      </c>
      <c r="J7" s="5" t="s">
        <v>136</v>
      </c>
    </row>
    <row r="10" spans="1:12" x14ac:dyDescent="0.35">
      <c r="G10" s="88" t="s">
        <v>212</v>
      </c>
      <c r="I10" s="3">
        <f>-SUM(I2:I9)</f>
        <v>419.6</v>
      </c>
    </row>
    <row r="11" spans="1:12" x14ac:dyDescent="0.35">
      <c r="G11" s="88" t="s">
        <v>213</v>
      </c>
    </row>
    <row r="12" spans="1:12" x14ac:dyDescent="0.35">
      <c r="G12" s="87">
        <v>0.19</v>
      </c>
      <c r="I12" s="3">
        <f>ROUND(I10*G12,0)</f>
        <v>80</v>
      </c>
    </row>
    <row r="15" spans="1:12" x14ac:dyDescent="0.35">
      <c r="A15" s="44" t="s">
        <v>251</v>
      </c>
    </row>
    <row r="17" spans="1:12" s="9" customFormat="1" ht="29" x14ac:dyDescent="0.35">
      <c r="A17" s="96" t="s">
        <v>118</v>
      </c>
      <c r="B17" s="96" t="s">
        <v>119</v>
      </c>
      <c r="C17" s="96" t="s">
        <v>120</v>
      </c>
      <c r="D17" s="96" t="s">
        <v>121</v>
      </c>
      <c r="E17" s="96" t="s">
        <v>122</v>
      </c>
      <c r="F17" s="96" t="s">
        <v>123</v>
      </c>
      <c r="G17" s="97" t="s">
        <v>124</v>
      </c>
      <c r="H17" s="97" t="s">
        <v>125</v>
      </c>
      <c r="I17" s="97" t="s">
        <v>126</v>
      </c>
      <c r="J17" s="97" t="s">
        <v>131</v>
      </c>
      <c r="K17" s="96" t="s">
        <v>130</v>
      </c>
      <c r="L17" s="96" t="s">
        <v>127</v>
      </c>
    </row>
    <row r="18" spans="1:12" x14ac:dyDescent="0.35">
      <c r="A18" s="2">
        <v>43921</v>
      </c>
      <c r="B18" s="2">
        <v>43921</v>
      </c>
      <c r="C18" t="s">
        <v>214</v>
      </c>
      <c r="D18" t="s">
        <v>35</v>
      </c>
      <c r="E18" t="s">
        <v>33</v>
      </c>
      <c r="F18" t="s">
        <v>215</v>
      </c>
      <c r="G18" s="3"/>
      <c r="H18" s="3">
        <v>80</v>
      </c>
      <c r="I18" s="3">
        <v>-80</v>
      </c>
      <c r="J18" s="5" t="s">
        <v>132</v>
      </c>
    </row>
    <row r="19" spans="1:12" x14ac:dyDescent="0.35">
      <c r="A19" s="2">
        <v>43951</v>
      </c>
      <c r="B19" s="2">
        <v>43951</v>
      </c>
      <c r="C19" t="s">
        <v>222</v>
      </c>
      <c r="D19" t="s">
        <v>35</v>
      </c>
      <c r="E19" t="s">
        <v>33</v>
      </c>
      <c r="F19" t="s">
        <v>227</v>
      </c>
      <c r="G19" s="3">
        <v>80</v>
      </c>
      <c r="H19" s="3"/>
      <c r="I19" s="3">
        <v>80</v>
      </c>
      <c r="J19" s="5" t="s">
        <v>132</v>
      </c>
      <c r="L19" t="s">
        <v>226</v>
      </c>
    </row>
    <row r="21" spans="1:12" x14ac:dyDescent="0.35">
      <c r="I21" s="109">
        <f>SUM(I18:I20)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9B37-F381-404B-BBB8-87283F4F4540}">
  <dimension ref="A2:I4"/>
  <sheetViews>
    <sheetView showGridLines="0" workbookViewId="0">
      <selection activeCell="I4" sqref="I4"/>
    </sheetView>
  </sheetViews>
  <sheetFormatPr defaultRowHeight="14.5" x14ac:dyDescent="0.35"/>
  <cols>
    <col min="1" max="1" width="15.81640625" customWidth="1"/>
    <col min="2" max="3" width="17.54296875" customWidth="1"/>
    <col min="4" max="4" width="12.6328125" customWidth="1"/>
    <col min="5" max="5" width="13.81640625" customWidth="1"/>
    <col min="9" max="9" width="14.7265625" customWidth="1"/>
  </cols>
  <sheetData>
    <row r="2" spans="1:9" x14ac:dyDescent="0.35">
      <c r="A2" s="6"/>
      <c r="B2" s="6"/>
      <c r="C2" s="6"/>
      <c r="D2" s="6"/>
      <c r="E2" s="6"/>
      <c r="F2" s="6"/>
      <c r="G2" s="6"/>
    </row>
    <row r="3" spans="1:9" ht="29" x14ac:dyDescent="0.35">
      <c r="A3" s="89" t="s">
        <v>230</v>
      </c>
      <c r="B3" s="89" t="s">
        <v>231</v>
      </c>
      <c r="C3" s="89" t="s">
        <v>232</v>
      </c>
      <c r="D3" s="89" t="s">
        <v>233</v>
      </c>
      <c r="E3" s="89" t="s">
        <v>234</v>
      </c>
      <c r="F3" s="89" t="s">
        <v>235</v>
      </c>
      <c r="G3" s="89" t="s">
        <v>236</v>
      </c>
      <c r="H3" s="89" t="s">
        <v>237</v>
      </c>
      <c r="I3" s="89" t="s">
        <v>238</v>
      </c>
    </row>
    <row r="4" spans="1:9" s="90" customFormat="1" ht="28" customHeight="1" x14ac:dyDescent="0.35">
      <c r="A4" s="90" t="s">
        <v>239</v>
      </c>
      <c r="B4" s="91">
        <v>43921</v>
      </c>
      <c r="C4" s="92">
        <f>'CIT 03.2020'!I12</f>
        <v>80</v>
      </c>
      <c r="D4" s="93">
        <v>43941</v>
      </c>
      <c r="E4" s="93">
        <v>43951</v>
      </c>
      <c r="F4" s="90">
        <f>E4-D4</f>
        <v>10</v>
      </c>
      <c r="G4" s="94">
        <v>0.08</v>
      </c>
      <c r="H4" s="92">
        <f>ROUND(C4*F4*G4/365,0)</f>
        <v>0</v>
      </c>
      <c r="I4" s="95">
        <f>H4+C4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Uzgodnienia</vt:lpstr>
      <vt:lpstr>Księgowania za 2020 r.</vt:lpstr>
      <vt:lpstr>ŚT</vt:lpstr>
      <vt:lpstr>Bank</vt:lpstr>
      <vt:lpstr>Należności</vt:lpstr>
      <vt:lpstr>Zobowiązania</vt:lpstr>
      <vt:lpstr>VAT</vt:lpstr>
      <vt:lpstr>CIT 03.2020</vt:lpstr>
      <vt:lpstr>Odsetki CIT</vt:lpstr>
      <vt:lpstr>Magazyn</vt:lpstr>
      <vt:lpstr>RMK</vt:lpstr>
      <vt:lpstr>Pozostałe koszty wynikowe</vt:lpstr>
      <vt:lpstr>Plan kont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Głowacka</dc:creator>
  <cp:lastModifiedBy>Joanna Głowacka</cp:lastModifiedBy>
  <dcterms:created xsi:type="dcterms:W3CDTF">2020-07-12T15:44:32Z</dcterms:created>
  <dcterms:modified xsi:type="dcterms:W3CDTF">2020-07-13T20:02:15Z</dcterms:modified>
</cp:coreProperties>
</file>